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bazil.marema\Downloads\"/>
    </mc:Choice>
  </mc:AlternateContent>
  <xr:revisionPtr revIDLastSave="0" documentId="13_ncr:1_{5D172AA3-B48F-45B1-9B0F-820C598CB6E5}" xr6:coauthVersionLast="47" xr6:coauthVersionMax="47" xr10:uidLastSave="{00000000-0000-0000-0000-000000000000}"/>
  <workbookProtection workbookAlgorithmName="SHA-512" workbookHashValue="jCTQEjnqJ8rlQ4jwQpwQxE73VIy4YZY+sqHtmK6gUfZDhsv0ILVe/Vi40veyfbBzqOU3Qfm4U6ApbUjt0t27xQ==" workbookSaltValue="ccduXqnjSG2hVe3lkKkSug==" workbookSpinCount="100000" lockStructure="1"/>
  <bookViews>
    <workbookView xWindow="28680" yWindow="-120" windowWidth="29040" windowHeight="15990" tabRatio="835" xr2:uid="{00000000-000D-0000-FFFF-FFFF00000000}"/>
  </bookViews>
  <sheets>
    <sheet name="YTD Tax Calc"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9" l="1"/>
  <c r="D22" i="9"/>
  <c r="D26" i="9"/>
  <c r="D77" i="9" s="1"/>
  <c r="D25" i="9"/>
  <c r="D27" i="9" l="1"/>
  <c r="D75" i="9" l="1"/>
  <c r="D76" i="9" s="1"/>
  <c r="D78" i="9" s="1"/>
  <c r="D79" i="9" s="1"/>
  <c r="D98" i="9" s="1"/>
  <c r="D91" i="9"/>
  <c r="D82" i="9"/>
  <c r="D83" i="9" s="1"/>
  <c r="D84" i="9" s="1"/>
  <c r="D99" i="9" s="1"/>
  <c r="D105" i="9"/>
  <c r="D87" i="9"/>
  <c r="D86" i="9"/>
  <c r="D21" i="9"/>
  <c r="D56" i="9" s="1"/>
  <c r="D68" i="9"/>
  <c r="D67" i="9"/>
  <c r="D19" i="9"/>
  <c r="D66" i="9"/>
  <c r="D58" i="9" l="1"/>
  <c r="D44" i="9"/>
  <c r="D34" i="9"/>
  <c r="D69" i="9"/>
  <c r="D45" i="9" l="1"/>
  <c r="D46" i="9" s="1"/>
  <c r="D35" i="9"/>
  <c r="D90" i="9"/>
  <c r="D72" i="9" l="1"/>
  <c r="D36" i="9"/>
  <c r="D92" i="9" l="1"/>
  <c r="D59" i="9" l="1"/>
  <c r="D71" i="9" s="1"/>
  <c r="D23" i="9"/>
  <c r="D39" i="9" l="1"/>
  <c r="D40" i="9" s="1"/>
  <c r="D41" i="9" s="1"/>
  <c r="D42" i="9" s="1"/>
  <c r="D49" i="9"/>
  <c r="D29" i="9"/>
  <c r="D57" i="9"/>
  <c r="D73" i="9" s="1"/>
  <c r="D50" i="9" l="1"/>
  <c r="D51" i="9"/>
  <c r="D30" i="9"/>
  <c r="D60" i="9"/>
  <c r="D74" i="9" s="1"/>
  <c r="D85" i="9" s="1"/>
  <c r="D101" i="9" s="1"/>
  <c r="D52" i="9"/>
  <c r="D94" i="9" s="1"/>
  <c r="D96" i="9" l="1"/>
  <c r="D31" i="9"/>
  <c r="D95" i="9"/>
  <c r="D88" i="9"/>
  <c r="D53" i="9"/>
  <c r="D54" i="9" s="1"/>
  <c r="D97" i="9" l="1"/>
  <c r="D100" i="9" s="1"/>
  <c r="D102" i="9" s="1"/>
  <c r="D32" i="9"/>
  <c r="D103" i="9"/>
  <c r="D104" i="9" l="1"/>
  <c r="D106" i="9" s="1"/>
  <c r="D62" i="9" s="1"/>
</calcChain>
</file>

<file path=xl/sharedStrings.xml><?xml version="1.0" encoding="utf-8"?>
<sst xmlns="http://schemas.openxmlformats.org/spreadsheetml/2006/main" count="203" uniqueCount="105">
  <si>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</si>
  <si>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</si>
  <si>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</si>
  <si>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</si>
  <si>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</si>
  <si>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</si>
  <si>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</si>
  <si>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</si>
  <si>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</si>
  <si>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</si>
  <si>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</si>
  <si>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</si>
  <si>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</si>
  <si>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</si>
  <si>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</si>
  <si>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</si>
  <si>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</si>
  <si>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</si>
  <si>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</si>
  <si>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</si>
  <si>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calculated for the year</t>
  </si>
  <si>
    <t>DISCLAIMER</t>
  </si>
  <si>
    <t>COPYRIGHT NOTICE</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</si>
  <si>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</si>
  <si>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</si>
  <si>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</si>
  <si>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</si>
  <si>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</si>
  <si>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</si>
  <si>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</si>
  <si>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</si>
  <si>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</si>
  <si>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</si>
  <si>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</si>
  <si>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</si>
  <si>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</si>
  <si>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Year to date taxable remuneration</t>
  </si>
  <si>
    <t>annualised taxable remuneration</t>
  </si>
  <si>
    <t xml:space="preserve">Year to date PAYE paid </t>
  </si>
  <si>
    <t>For example annual bonus</t>
  </si>
  <si>
    <t xml:space="preserve">Annual tax tables </t>
  </si>
  <si>
    <t>Employee age</t>
  </si>
  <si>
    <t>Days in the tax year</t>
  </si>
  <si>
    <t>Y+ taxable earnings</t>
  </si>
  <si>
    <t>Y+ taxable fringe benefits</t>
  </si>
  <si>
    <t>Y+ taxable company contributions</t>
  </si>
  <si>
    <t>Y+ tax deductions</t>
  </si>
  <si>
    <t>Y+ periodic earnings</t>
  </si>
  <si>
    <t>Y+ provident fund contributions</t>
  </si>
  <si>
    <t>Y+ tax paid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</si>
  <si>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</si>
  <si>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</si>
  <si>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</si>
  <si>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</si>
  <si>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</si>
  <si>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</si>
  <si>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</si>
  <si>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</si>
  <si>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</si>
  <si>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</si>
  <si>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</si>
  <si>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</si>
  <si>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</si>
  <si>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</si>
  <si>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</si>
  <si>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</si>
  <si>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</si>
  <si>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</si>
  <si>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Number of days employed</t>
  </si>
  <si>
    <t>Rabates</t>
  </si>
  <si>
    <t>younger than 60</t>
  </si>
  <si>
    <t>10% of the amount contributes towards a provident fund limited to E360 per annum</t>
  </si>
  <si>
    <t>60 and older</t>
  </si>
  <si>
    <t>Non-executive director/member of statutory board</t>
  </si>
  <si>
    <t>Part-time employee</t>
  </si>
  <si>
    <t>Employee contribution to ENPF + employee contribution towards approved pension fund (limited to  the statutory limits)</t>
  </si>
  <si>
    <t>Tax already paid for the year excluding current period (does not include additional tax)</t>
  </si>
  <si>
    <t>Part-time employees tax tables</t>
  </si>
  <si>
    <t>When applying these rates the rebates should not be taken into account</t>
  </si>
  <si>
    <t>If director = 1</t>
  </si>
  <si>
    <t>If part-time = 1</t>
  </si>
  <si>
    <t>Director</t>
  </si>
  <si>
    <t>Normal</t>
  </si>
  <si>
    <t>Part-time</t>
  </si>
  <si>
    <t>Tax on periodics</t>
  </si>
  <si>
    <t>tax on periodics</t>
  </si>
  <si>
    <t>SUM OF ABOVE</t>
  </si>
  <si>
    <t>part-time employee = 1</t>
  </si>
  <si>
    <t>REBATE FOR PART-TIME</t>
  </si>
  <si>
    <t>Tax on Annual equivalent including periodics</t>
  </si>
  <si>
    <t>Mandatory field - type in employee's age for the tax year</t>
  </si>
  <si>
    <t>Mandatory field - Enter the number of days employed during the tax year</t>
  </si>
  <si>
    <t>Mandatory field - Enter the number of days in the tax year (365/366)</t>
  </si>
  <si>
    <t>Employee contribution towards approved provident fund (excluding ENPF). Limited rebate will automatically be applied.</t>
  </si>
  <si>
    <t>HIDE</t>
  </si>
  <si>
    <t>Mandatory field - Select Yes or No from list (taxed at 33%)</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</si>
  <si>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</si>
  <si>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</si>
  <si>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</si>
  <si>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Mandatory field - Select Yes or No from list (does not include non-executive director/member of statutory board)</t>
  </si>
  <si>
    <t>© Copyright 2022 by Sage South Africa, a division of Sage South Africa (Pty) Ltd hereinafter referred to as “Sage”, under the Copyright Law of the Republic of South Africa.</t>
  </si>
  <si>
    <t xml:space="preserve">PAYE on YTD+  Rem (Excluding Periodics) </t>
  </si>
  <si>
    <t>PAYE on Periodic Earnings</t>
  </si>
  <si>
    <t>PAYE Due in this Period</t>
  </si>
  <si>
    <t>YTD/Annual PAYE calculation: Swaziland/Eswatini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</si>
</sst>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 ;_ * \-#,##0_ ;_ * &quot;-&quot;_ ;_ @_ "/>
    <numFmt numFmtId="165" formatCode="_ * #,##0.00_ ;_ * \-#,##0.00_ ;_ * &quot;-&quot;??_ ;_ @_ "/>
    <numFmt numFmtId="166" formatCode="0.0000"/>
    <numFmt numFmtId="167" formatCode="#,##0.00_ ;\-#,##0.00\ "/>
    <numFmt numFmtId="168" formatCode="_ * #,##0.000000_ ;_ * \-#,##0.000000_ ;_ * &quot;-&quot;??_ ;_ @_ "/>
    <numFmt numFmtId="169" formatCode="_-* #,##0.000000_-;\-* #,##0.000000_-;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b/>
      <u/>
      <sz val="10"/>
      <name val="Sage UI"/>
    </font>
    <font>
      <b/>
      <i/>
      <sz val="10"/>
      <name val="Sage UI"/>
    </font>
    <font>
      <i/>
      <sz val="10"/>
      <name val="Sage UI"/>
    </font>
    <font>
      <i/>
      <sz val="10"/>
      <color theme="1"/>
      <name val="Sage Text Light"/>
    </font>
    <font>
      <i/>
      <sz val="9"/>
      <color theme="1"/>
      <name val="Sage Text Light"/>
    </font>
    <font>
      <sz val="9"/>
      <name val="Sage UI"/>
    </font>
    <font>
      <b/>
      <sz val="9"/>
      <color theme="1"/>
      <name val="Sage UI"/>
    </font>
    <font>
      <sz val="9"/>
      <color theme="1"/>
      <name val="Sage UI"/>
    </font>
    <font>
      <sz val="9"/>
      <color theme="1"/>
      <name val="Sage Text Light"/>
    </font>
    <font>
      <b/>
      <sz val="9"/>
      <color theme="0"/>
      <name val="Sage UI"/>
    </font>
    <font>
      <sz val="9"/>
      <color theme="0"/>
      <name val="Sage UI"/>
    </font>
  </fonts>
  <fills count="10">
    <fill>
      <patternFill patternType="none"/>
    </fill>
    <fill>
      <patternFill patternType="gray125"/>
    </fill>
    <fill>
      <patternFill patternType="solid">
        <fgColor theme="0"/>
        <bgColor indexed="64"/>
      </patternFill>
    </fill>
    <fill>
      <patternFill patternType="solid">
        <fgColor rgb="FF00DC0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9">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Alignment="1">
      <alignment horizontal="right"/>
    </xf>
    <xf numFmtId="0" fontId="22" fillId="0" borderId="0" xfId="0" applyFont="1"/>
    <xf numFmtId="0" fontId="23" fillId="0" borderId="1" xfId="0" applyFont="1" applyBorder="1"/>
    <xf numFmtId="167" fontId="23" fillId="8" borderId="1" xfId="1" applyNumberFormat="1" applyFont="1" applyFill="1" applyBorder="1" applyProtection="1">
      <protection locked="0"/>
    </xf>
    <xf numFmtId="165" fontId="23" fillId="8" borderId="1" xfId="1" applyFont="1" applyFill="1" applyBorder="1" applyProtection="1">
      <protection locked="0"/>
    </xf>
    <xf numFmtId="0" fontId="23" fillId="0" borderId="0" xfId="0" applyFont="1"/>
    <xf numFmtId="165" fontId="23" fillId="0" borderId="0" xfId="1" applyFont="1" applyFill="1" applyBorder="1" applyAlignment="1" applyProtection="1">
      <alignment wrapText="1"/>
    </xf>
    <xf numFmtId="165" fontId="23" fillId="0" borderId="1" xfId="1" applyFont="1" applyFill="1" applyBorder="1" applyAlignment="1" applyProtection="1">
      <alignment wrapText="1"/>
    </xf>
    <xf numFmtId="167" fontId="23" fillId="0" borderId="1" xfId="1" applyNumberFormat="1" applyFont="1" applyBorder="1"/>
    <xf numFmtId="165" fontId="25" fillId="0" borderId="0" xfId="1" applyFont="1" applyAlignment="1">
      <alignment horizontal="center"/>
    </xf>
    <xf numFmtId="49" fontId="23" fillId="0" borderId="1" xfId="1" applyNumberFormat="1" applyFont="1" applyBorder="1" applyAlignment="1"/>
    <xf numFmtId="1" fontId="23" fillId="8" borderId="1" xfId="0" applyNumberFormat="1" applyFont="1" applyFill="1" applyBorder="1" applyAlignment="1" applyProtection="1">
      <alignment horizontal="right"/>
      <protection locked="0"/>
    </xf>
    <xf numFmtId="0" fontId="24" fillId="0" borderId="0" xfId="0" applyFont="1"/>
    <xf numFmtId="0" fontId="26" fillId="0" borderId="0" xfId="0" applyFont="1"/>
    <xf numFmtId="164" fontId="27" fillId="0" borderId="0" xfId="1" applyNumberFormat="1" applyFont="1"/>
    <xf numFmtId="0" fontId="26" fillId="5" borderId="0" xfId="0" applyFont="1" applyFill="1"/>
    <xf numFmtId="164" fontId="27" fillId="5" borderId="0" xfId="1" applyNumberFormat="1" applyFont="1" applyFill="1"/>
    <xf numFmtId="0" fontId="26" fillId="6" borderId="0" xfId="0" applyFont="1" applyFill="1"/>
    <xf numFmtId="164" fontId="27" fillId="6" borderId="0" xfId="1" applyNumberFormat="1" applyFont="1" applyFill="1"/>
    <xf numFmtId="166" fontId="27" fillId="6" borderId="0" xfId="1" applyNumberFormat="1" applyFont="1" applyFill="1"/>
    <xf numFmtId="0" fontId="26" fillId="3" borderId="0" xfId="0" applyFont="1" applyFill="1"/>
    <xf numFmtId="164" fontId="27" fillId="3" borderId="0" xfId="1" applyNumberFormat="1" applyFont="1" applyFill="1"/>
    <xf numFmtId="166" fontId="27" fillId="3" borderId="0" xfId="1" applyNumberFormat="1" applyFont="1" applyFill="1"/>
    <xf numFmtId="0" fontId="26" fillId="4" borderId="0" xfId="0" applyFont="1" applyFill="1"/>
    <xf numFmtId="164" fontId="27" fillId="4" borderId="0" xfId="1" applyNumberFormat="1" applyFont="1" applyFill="1"/>
    <xf numFmtId="166" fontId="27" fillId="4" borderId="0" xfId="1" applyNumberFormat="1" applyFont="1" applyFill="1"/>
    <xf numFmtId="0" fontId="24" fillId="0" borderId="1" xfId="0" applyFont="1" applyBorder="1"/>
    <xf numFmtId="165" fontId="24" fillId="0" borderId="6" xfId="1" applyFont="1" applyBorder="1"/>
    <xf numFmtId="0" fontId="28" fillId="0" borderId="0" xfId="0" applyFont="1" applyAlignment="1">
      <alignment horizontal="center" vertical="top" wrapText="1"/>
    </xf>
    <xf numFmtId="0" fontId="29" fillId="0" borderId="0" xfId="0" applyFont="1" applyAlignment="1">
      <alignment horizontal="left"/>
    </xf>
    <xf numFmtId="0" fontId="29" fillId="0" borderId="0" xfId="0" applyFont="1" applyAlignment="1">
      <alignment horizontal="left" wrapText="1"/>
    </xf>
    <xf numFmtId="164" fontId="30" fillId="0" borderId="0" xfId="1" applyNumberFormat="1" applyFont="1"/>
    <xf numFmtId="0" fontId="22" fillId="0" borderId="1" xfId="0" applyFont="1" applyBorder="1" applyAlignment="1">
      <alignment horizontal="center"/>
    </xf>
    <xf numFmtId="0" fontId="22" fillId="0" borderId="1" xfId="0" applyFont="1" applyBorder="1"/>
    <xf numFmtId="0" fontId="30" fillId="0" borderId="1" xfId="0" applyFont="1" applyBorder="1"/>
    <xf numFmtId="165" fontId="30" fillId="0" borderId="1" xfId="1" applyFont="1" applyBorder="1"/>
    <xf numFmtId="0" fontId="22" fillId="4" borderId="1" xfId="0" applyFont="1" applyFill="1" applyBorder="1"/>
    <xf numFmtId="0" fontId="30" fillId="4" borderId="1" xfId="0" applyFont="1" applyFill="1" applyBorder="1"/>
    <xf numFmtId="167" fontId="30" fillId="4" borderId="1" xfId="1" applyNumberFormat="1" applyFont="1" applyFill="1" applyBorder="1"/>
    <xf numFmtId="165" fontId="30" fillId="0" borderId="1" xfId="1" applyFont="1" applyFill="1" applyBorder="1"/>
    <xf numFmtId="165" fontId="30" fillId="4" borderId="1" xfId="1" applyFont="1" applyFill="1" applyBorder="1"/>
    <xf numFmtId="166" fontId="30" fillId="0" borderId="1" xfId="1" applyNumberFormat="1" applyFont="1" applyBorder="1"/>
    <xf numFmtId="165" fontId="22" fillId="0" borderId="1" xfId="1" applyFont="1" applyBorder="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0" fontId="22" fillId="9" borderId="1" xfId="0" applyFont="1" applyFill="1" applyBorder="1" applyAlignment="1">
      <alignment horizontal="left"/>
    </xf>
    <xf numFmtId="165" fontId="30" fillId="9" borderId="1" xfId="1" applyFont="1" applyFill="1" applyBorder="1"/>
    <xf numFmtId="0" fontId="22" fillId="9" borderId="1" xfId="0" applyFont="1" applyFill="1" applyBorder="1"/>
    <xf numFmtId="165" fontId="22" fillId="9" borderId="6" xfId="1" applyFont="1" applyFill="1" applyBorder="1"/>
    <xf numFmtId="0" fontId="33" fillId="0" borderId="0" xfId="0" applyFont="1" applyAlignment="1">
      <alignment vertical="center"/>
    </xf>
    <xf numFmtId="0" fontId="33" fillId="0" borderId="0" xfId="0" applyFont="1"/>
    <xf numFmtId="165" fontId="33" fillId="0" borderId="0" xfId="1" applyFont="1"/>
    <xf numFmtId="0" fontId="29" fillId="0" borderId="0" xfId="0" applyFont="1"/>
    <xf numFmtId="0" fontId="30" fillId="0" borderId="0" xfId="0" applyFont="1"/>
    <xf numFmtId="0" fontId="34" fillId="7" borderId="1" xfId="0" applyFont="1" applyFill="1" applyBorder="1"/>
    <xf numFmtId="166" fontId="30" fillId="0" borderId="1" xfId="0" applyNumberFormat="1" applyFont="1" applyBorder="1"/>
    <xf numFmtId="0" fontId="30" fillId="0" borderId="1" xfId="13" applyFont="1" applyBorder="1"/>
    <xf numFmtId="0" fontId="35" fillId="7" borderId="1" xfId="0" applyFont="1" applyFill="1" applyBorder="1"/>
    <xf numFmtId="0" fontId="34" fillId="7" borderId="0" xfId="0" applyFont="1" applyFill="1"/>
    <xf numFmtId="0" fontId="35" fillId="7" borderId="0" xfId="0" applyFont="1" applyFill="1"/>
    <xf numFmtId="43" fontId="8" fillId="0" borderId="0" xfId="0" applyNumberFormat="1" applyFont="1"/>
    <xf numFmtId="168" fontId="8" fillId="0" borderId="0" xfId="1" applyNumberFormat="1" applyFont="1"/>
    <xf numFmtId="169" fontId="8" fillId="0" borderId="0" xfId="0" applyNumberFormat="1" applyFont="1"/>
    <xf numFmtId="165" fontId="17" fillId="7" borderId="3" xfId="1" applyFont="1" applyFill="1" applyBorder="1" applyAlignment="1">
      <alignment horizontal="center" vertical="center"/>
    </xf>
    <xf numFmtId="165" fontId="17" fillId="7" borderId="4" xfId="1" applyFont="1" applyFill="1" applyBorder="1" applyAlignment="1">
      <alignment horizontal="center" vertical="center"/>
    </xf>
    <xf numFmtId="165" fontId="17" fillId="7" borderId="5" xfId="1" applyFont="1" applyFill="1" applyBorder="1" applyAlignment="1">
      <alignment horizontal="center" vertical="center"/>
    </xf>
    <xf numFmtId="0" fontId="33" fillId="0" borderId="0" xfId="0" applyFont="1" applyAlignment="1">
      <alignment horizontal="left" vertical="top" wrapText="1"/>
    </xf>
    <xf numFmtId="49" fontId="18" fillId="0" borderId="0" xfId="1" applyNumberFormat="1" applyFont="1" applyBorder="1" applyAlignment="1">
      <alignment horizontal="center"/>
    </xf>
    <xf numFmtId="0" fontId="30" fillId="0" borderId="7" xfId="0" applyFont="1" applyBorder="1" applyAlignment="1">
      <alignment horizontal="left" wrapText="1"/>
    </xf>
    <xf numFmtId="0" fontId="30" fillId="0" borderId="0" xfId="0" applyFont="1" applyAlignment="1">
      <alignment horizontal="left"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485775</xdr:colOff>
      <xdr:row>0</xdr:row>
      <xdr:rowOff>534988</xdr:rowOff>
    </xdr:to>
    <xdr:pic>
      <xdr:nvPicPr>
        <xdr:cNvPr id="3" name="Picture 2">
          <a:extLst>
            <a:ext uri="{FF2B5EF4-FFF2-40B4-BE49-F238E27FC236}">
              <a16:creationId xmlns:a16="http://schemas.microsoft.com/office/drawing/2014/main" id="{75C886BF-8649-48C0-B8FE-8D5849468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85725"/>
          <a:ext cx="78740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73025</xdr:colOff>
      <xdr:row>1</xdr:row>
      <xdr:rowOff>34925</xdr:rowOff>
    </xdr:from>
    <xdr:to>
      <xdr:col>1</xdr:col>
      <xdr:colOff>866775</xdr:colOff>
      <xdr:row>4</xdr:row>
      <xdr:rowOff>106363</xdr:rowOff>
    </xdr:to>
    <xdr:pic>
      <xdr:nvPicPr>
        <xdr:cNvPr id="3" name="Picture 2">
          <a:extLst>
            <a:ext uri="{FF2B5EF4-FFF2-40B4-BE49-F238E27FC236}">
              <a16:creationId xmlns:a16="http://schemas.microsoft.com/office/drawing/2014/main" id="{9F5DBA28-40DE-4188-9329-DC066C017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58750"/>
          <a:ext cx="790575"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13"/>
  <sheetViews>
    <sheetView showGridLines="0" tabSelected="1" showWhiteSpace="0" zoomScaleNormal="100" workbookViewId="0">
      <selection activeCell="D6" sqref="D6"/>
    </sheetView>
  </sheetViews>
  <sheetFormatPr defaultColWidth="0" defaultRowHeight="11.5" zeroHeight="1" x14ac:dyDescent="0.25"/>
  <cols>
    <col min="1" max="1" width="3.1796875" style="2" customWidth="1"/>
    <col min="2" max="2" width="5.26953125" style="6" customWidth="1"/>
    <col min="3" max="3" width="62.6328125" style="2" customWidth="1"/>
    <col min="4" max="4" width="18.453125" style="10" customWidth="1"/>
    <col min="5" max="5" width="2.7265625" style="2" customWidth="1"/>
    <col min="6" max="6" width="87.1796875" style="3" customWidth="1"/>
    <col min="7" max="16384" width="9.1796875" style="2" hidden="1"/>
  </cols>
  <sheetData>
    <row r="1" spans="2:6" ht="46.9" customHeight="1" x14ac:dyDescent="0.25">
      <c r="C1" s="11"/>
    </row>
    <row r="2" spans="2:6" ht="30" customHeight="1" x14ac:dyDescent="0.2">
      <c r="B2" s="82" t="s">
        <v>104</v>
      </c>
      <c r="C2" s="83"/>
      <c r="D2" s="84"/>
    </row>
    <row r="3" spans="2:6" x14ac:dyDescent="0.25">
      <c r="B3" s="4"/>
      <c r="C3" s="5"/>
      <c r="D3" s="5"/>
    </row>
    <row r="4" spans="2:6" ht="15" customHeight="1" x14ac:dyDescent="0.3">
      <c r="B4" s="4"/>
      <c r="C4" s="86" t="s">
        <v>96</v>
      </c>
      <c r="D4" s="86"/>
      <c r="F4" s="13"/>
    </row>
    <row r="5" spans="2:6" ht="15" customHeight="1" x14ac:dyDescent="0.35">
      <c r="B5" s="4"/>
      <c r="C5" s="16"/>
      <c r="D5" s="17"/>
      <c r="F5" s="45" t="s">
        <v>97</v>
      </c>
    </row>
    <row r="6" spans="2:6" ht="15" customHeight="1" x14ac:dyDescent="0.25">
      <c r="B6" s="26"/>
      <c r="C6" s="27" t="s">
        <v>41</v>
      </c>
      <c r="D6" s="28">
        <v>42</v>
      </c>
      <c r="F6" s="46" t="s">
        <v>90</v>
      </c>
    </row>
    <row r="7" spans="2:6" ht="15" customHeight="1" x14ac:dyDescent="0.25">
      <c r="B7" s="26"/>
      <c r="C7" s="27" t="s">
        <v>73</v>
      </c>
      <c r="D7" s="28" t="s">
        <v>29</v>
      </c>
      <c r="F7" s="46" t="s">
        <v>95</v>
      </c>
    </row>
    <row r="8" spans="2:6" ht="15" customHeight="1" x14ac:dyDescent="0.25">
      <c r="B8" s="26"/>
      <c r="C8" s="27" t="s">
        <v>74</v>
      </c>
      <c r="D8" s="28" t="s">
        <v>29</v>
      </c>
      <c r="F8" s="46" t="s">
        <v>99</v>
      </c>
    </row>
    <row r="9" spans="2:6" ht="15" customHeight="1" x14ac:dyDescent="0.25">
      <c r="B9" s="29"/>
      <c r="C9" s="19" t="s">
        <v>68</v>
      </c>
      <c r="D9" s="20">
        <v>91</v>
      </c>
      <c r="F9" s="46" t="s">
        <v>91</v>
      </c>
    </row>
    <row r="10" spans="2:6" ht="15" customHeight="1" x14ac:dyDescent="0.25">
      <c r="B10" s="29"/>
      <c r="C10" s="19" t="s">
        <v>42</v>
      </c>
      <c r="D10" s="20">
        <v>365</v>
      </c>
      <c r="F10" s="46" t="s">
        <v>92</v>
      </c>
    </row>
    <row r="11" spans="2:6" ht="15" customHeight="1" x14ac:dyDescent="0.25">
      <c r="B11" s="29"/>
      <c r="C11" s="19" t="s">
        <v>43</v>
      </c>
      <c r="D11" s="21">
        <v>300000</v>
      </c>
      <c r="F11" s="47"/>
    </row>
    <row r="12" spans="2:6" ht="15" customHeight="1" x14ac:dyDescent="0.25">
      <c r="B12" s="29"/>
      <c r="C12" s="19" t="s">
        <v>44</v>
      </c>
      <c r="D12" s="21"/>
      <c r="F12" s="47"/>
    </row>
    <row r="13" spans="2:6" ht="15" customHeight="1" x14ac:dyDescent="0.25">
      <c r="B13" s="29"/>
      <c r="C13" s="19" t="s">
        <v>45</v>
      </c>
      <c r="D13" s="21"/>
      <c r="F13" s="46"/>
    </row>
    <row r="14" spans="2:6" ht="12.5" x14ac:dyDescent="0.25">
      <c r="B14" s="29"/>
      <c r="C14" s="19" t="s">
        <v>46</v>
      </c>
      <c r="D14" s="21"/>
      <c r="F14" s="47" t="s">
        <v>75</v>
      </c>
    </row>
    <row r="15" spans="2:6" ht="15" customHeight="1" x14ac:dyDescent="0.25">
      <c r="B15" s="29"/>
      <c r="C15" s="19" t="s">
        <v>47</v>
      </c>
      <c r="D15" s="21">
        <v>100000</v>
      </c>
      <c r="F15" s="46" t="s">
        <v>39</v>
      </c>
    </row>
    <row r="16" spans="2:6" ht="15" customHeight="1" x14ac:dyDescent="0.25">
      <c r="B16" s="29"/>
      <c r="C16" s="19" t="s">
        <v>48</v>
      </c>
      <c r="D16" s="21"/>
      <c r="F16" s="46" t="s">
        <v>93</v>
      </c>
    </row>
    <row r="17" spans="2:6" ht="15" customHeight="1" x14ac:dyDescent="0.25">
      <c r="B17" s="29"/>
      <c r="C17" s="19" t="s">
        <v>49</v>
      </c>
      <c r="D17" s="21"/>
      <c r="F17" s="46" t="s">
        <v>76</v>
      </c>
    </row>
    <row r="18" spans="2:6" ht="15" customHeight="1" x14ac:dyDescent="0.3">
      <c r="B18" s="29"/>
      <c r="C18" s="22"/>
      <c r="D18" s="23"/>
      <c r="F18" s="15"/>
    </row>
    <row r="19" spans="2:6" ht="15" customHeight="1" x14ac:dyDescent="0.3">
      <c r="B19" s="29"/>
      <c r="C19" s="19" t="s">
        <v>33</v>
      </c>
      <c r="D19" s="24">
        <f>D11+D12+D13-D14+D15</f>
        <v>400000</v>
      </c>
      <c r="F19" s="15"/>
    </row>
    <row r="20" spans="2:6" ht="15" customHeight="1" x14ac:dyDescent="0.3">
      <c r="B20" s="29"/>
      <c r="C20" s="22"/>
      <c r="D20" s="23"/>
      <c r="F20" s="15"/>
    </row>
    <row r="21" spans="2:6" ht="15" customHeight="1" x14ac:dyDescent="0.3">
      <c r="B21" s="29"/>
      <c r="C21" s="19" t="s">
        <v>34</v>
      </c>
      <c r="D21" s="24">
        <f>(D11+D12+D13-D14)/D9*D10</f>
        <v>1203296.7032967033</v>
      </c>
      <c r="F21" s="15"/>
    </row>
    <row r="22" spans="2:6" ht="15" customHeight="1" x14ac:dyDescent="0.25">
      <c r="B22" s="29"/>
      <c r="C22" s="19" t="s">
        <v>32</v>
      </c>
      <c r="D22" s="25">
        <f>D15</f>
        <v>100000</v>
      </c>
    </row>
    <row r="23" spans="2:6" ht="16.149999999999999" customHeight="1" x14ac:dyDescent="0.25">
      <c r="B23" s="29"/>
      <c r="C23" s="19" t="s">
        <v>35</v>
      </c>
      <c r="D23" s="25">
        <f>D21+D22</f>
        <v>1303296.7032967033</v>
      </c>
    </row>
    <row r="24" spans="2:6" ht="15" customHeight="1" x14ac:dyDescent="0.25">
      <c r="B24" s="29"/>
      <c r="C24" s="30"/>
      <c r="D24" s="31"/>
    </row>
    <row r="25" spans="2:6" ht="15" hidden="1" customHeight="1" x14ac:dyDescent="0.25">
      <c r="B25" s="29" t="s">
        <v>94</v>
      </c>
      <c r="C25" s="32" t="s">
        <v>79</v>
      </c>
      <c r="D25" s="33">
        <f>IF(D7="Yes",1,0)</f>
        <v>0</v>
      </c>
    </row>
    <row r="26" spans="2:6" ht="15" hidden="1" customHeight="1" x14ac:dyDescent="0.25">
      <c r="B26" s="29" t="s">
        <v>94</v>
      </c>
      <c r="C26" s="32" t="s">
        <v>80</v>
      </c>
      <c r="D26" s="33">
        <f>IF(D8="Yes",1,0)</f>
        <v>0</v>
      </c>
    </row>
    <row r="27" spans="2:6" ht="15" hidden="1" customHeight="1" x14ac:dyDescent="0.25">
      <c r="B27" s="29" t="s">
        <v>94</v>
      </c>
      <c r="C27" s="32" t="s">
        <v>86</v>
      </c>
      <c r="D27" s="33">
        <f>D25+D26</f>
        <v>0</v>
      </c>
    </row>
    <row r="28" spans="2:6" ht="15" hidden="1" customHeight="1" x14ac:dyDescent="0.25">
      <c r="B28" s="29" t="s">
        <v>94</v>
      </c>
      <c r="C28" s="34" t="s">
        <v>81</v>
      </c>
      <c r="D28" s="35"/>
    </row>
    <row r="29" spans="2:6" ht="15" hidden="1" customHeight="1" x14ac:dyDescent="0.25">
      <c r="B29" s="29" t="s">
        <v>94</v>
      </c>
      <c r="C29" s="34" t="s">
        <v>50</v>
      </c>
      <c r="D29" s="36">
        <f>IF(D25=1,D23,0)</f>
        <v>0</v>
      </c>
    </row>
    <row r="30" spans="2:6" ht="15" hidden="1" customHeight="1" x14ac:dyDescent="0.25">
      <c r="B30" s="29" t="s">
        <v>94</v>
      </c>
      <c r="C30" s="34" t="s">
        <v>26</v>
      </c>
      <c r="D30" s="36">
        <f>IF(D29&gt;0,0.33,0)</f>
        <v>0</v>
      </c>
    </row>
    <row r="31" spans="2:6" ht="15" hidden="1" customHeight="1" x14ac:dyDescent="0.25">
      <c r="B31" s="29" t="s">
        <v>94</v>
      </c>
      <c r="C31" s="34" t="s">
        <v>54</v>
      </c>
      <c r="D31" s="36">
        <f>D29*D30</f>
        <v>0</v>
      </c>
    </row>
    <row r="32" spans="2:6" ht="15" hidden="1" customHeight="1" x14ac:dyDescent="0.25">
      <c r="B32" s="29" t="s">
        <v>94</v>
      </c>
      <c r="C32" s="34" t="s">
        <v>84</v>
      </c>
      <c r="D32" s="36">
        <f>D31-D36</f>
        <v>0</v>
      </c>
    </row>
    <row r="33" spans="2:4" ht="15" hidden="1" customHeight="1" x14ac:dyDescent="0.25">
      <c r="B33" s="29" t="s">
        <v>94</v>
      </c>
      <c r="C33" s="34"/>
      <c r="D33" s="36"/>
    </row>
    <row r="34" spans="2:4" ht="15" hidden="1" customHeight="1" x14ac:dyDescent="0.25">
      <c r="B34" s="29" t="s">
        <v>94</v>
      </c>
      <c r="C34" s="34" t="s">
        <v>51</v>
      </c>
      <c r="D34" s="36">
        <f>IF(D25=1,D21,0)</f>
        <v>0</v>
      </c>
    </row>
    <row r="35" spans="2:4" ht="15" hidden="1" customHeight="1" x14ac:dyDescent="0.25">
      <c r="B35" s="29" t="s">
        <v>94</v>
      </c>
      <c r="C35" s="34" t="s">
        <v>26</v>
      </c>
      <c r="D35" s="36">
        <f>IF(D34&gt;0,0.33,0)</f>
        <v>0</v>
      </c>
    </row>
    <row r="36" spans="2:4" ht="15" hidden="1" customHeight="1" x14ac:dyDescent="0.25">
      <c r="B36" s="29" t="s">
        <v>94</v>
      </c>
      <c r="C36" s="34" t="s">
        <v>55</v>
      </c>
      <c r="D36" s="36">
        <f>D34*D35</f>
        <v>0</v>
      </c>
    </row>
    <row r="37" spans="2:4" ht="15" hidden="1" customHeight="1" x14ac:dyDescent="0.25">
      <c r="B37" s="29" t="s">
        <v>94</v>
      </c>
      <c r="C37" s="30"/>
      <c r="D37" s="31"/>
    </row>
    <row r="38" spans="2:4" ht="15" hidden="1" customHeight="1" x14ac:dyDescent="0.25">
      <c r="B38" s="29" t="s">
        <v>94</v>
      </c>
      <c r="C38" s="37" t="s">
        <v>83</v>
      </c>
      <c r="D38" s="38"/>
    </row>
    <row r="39" spans="2:4" ht="15" hidden="1" customHeight="1" x14ac:dyDescent="0.25">
      <c r="B39" s="29" t="s">
        <v>94</v>
      </c>
      <c r="C39" s="37" t="s">
        <v>50</v>
      </c>
      <c r="D39" s="39">
        <f>IF(D26=1,D23,0)</f>
        <v>0</v>
      </c>
    </row>
    <row r="40" spans="2:4" ht="15" hidden="1" customHeight="1" x14ac:dyDescent="0.25">
      <c r="B40" s="29" t="s">
        <v>94</v>
      </c>
      <c r="C40" s="37" t="s">
        <v>26</v>
      </c>
      <c r="D40" s="39">
        <f>IF(D39&gt;0,LOOKUP(D39,Tax_Tables!G8:G11,Tax_Tables!H8:H11),0)</f>
        <v>0</v>
      </c>
    </row>
    <row r="41" spans="2:4" ht="15" hidden="1" customHeight="1" x14ac:dyDescent="0.25">
      <c r="B41" s="29" t="s">
        <v>94</v>
      </c>
      <c r="C41" s="37" t="s">
        <v>54</v>
      </c>
      <c r="D41" s="39">
        <f>D39*D40</f>
        <v>0</v>
      </c>
    </row>
    <row r="42" spans="2:4" ht="15" hidden="1" customHeight="1" x14ac:dyDescent="0.25">
      <c r="B42" s="29" t="s">
        <v>94</v>
      </c>
      <c r="C42" s="37" t="s">
        <v>84</v>
      </c>
      <c r="D42" s="39">
        <f>D41-D46</f>
        <v>0</v>
      </c>
    </row>
    <row r="43" spans="2:4" ht="15" hidden="1" customHeight="1" x14ac:dyDescent="0.25">
      <c r="B43" s="29" t="s">
        <v>94</v>
      </c>
      <c r="C43" s="37"/>
      <c r="D43" s="39"/>
    </row>
    <row r="44" spans="2:4" ht="15" hidden="1" customHeight="1" x14ac:dyDescent="0.25">
      <c r="B44" s="29" t="s">
        <v>94</v>
      </c>
      <c r="C44" s="37" t="s">
        <v>51</v>
      </c>
      <c r="D44" s="39">
        <f>IF(D26=1,D21,0)</f>
        <v>0</v>
      </c>
    </row>
    <row r="45" spans="2:4" ht="15" hidden="1" customHeight="1" x14ac:dyDescent="0.25">
      <c r="B45" s="29" t="s">
        <v>94</v>
      </c>
      <c r="C45" s="37" t="s">
        <v>26</v>
      </c>
      <c r="D45" s="39">
        <f>IF(D44&gt;0,LOOKUP(D44,Tax_Tables!G8:G11,Tax_Tables!H8:H11),0)</f>
        <v>0</v>
      </c>
    </row>
    <row r="46" spans="2:4" ht="15" hidden="1" customHeight="1" x14ac:dyDescent="0.25">
      <c r="B46" s="29" t="s">
        <v>94</v>
      </c>
      <c r="C46" s="37" t="s">
        <v>55</v>
      </c>
      <c r="D46" s="39">
        <f>D44*D45</f>
        <v>0</v>
      </c>
    </row>
    <row r="47" spans="2:4" ht="15" hidden="1" customHeight="1" x14ac:dyDescent="0.25">
      <c r="B47" s="29" t="s">
        <v>94</v>
      </c>
      <c r="C47" s="30"/>
      <c r="D47" s="31"/>
    </row>
    <row r="48" spans="2:4" ht="15" hidden="1" customHeight="1" x14ac:dyDescent="0.25">
      <c r="B48" s="29" t="s">
        <v>94</v>
      </c>
      <c r="C48" s="40" t="s">
        <v>82</v>
      </c>
      <c r="D48" s="41"/>
    </row>
    <row r="49" spans="2:6" ht="15" hidden="1" customHeight="1" x14ac:dyDescent="0.25">
      <c r="B49" s="29" t="s">
        <v>94</v>
      </c>
      <c r="C49" s="40" t="s">
        <v>50</v>
      </c>
      <c r="D49" s="42">
        <f>IF(D27=0,D23,0)</f>
        <v>1303296.7032967033</v>
      </c>
    </row>
    <row r="50" spans="2:6" ht="15" hidden="1" customHeight="1" x14ac:dyDescent="0.25">
      <c r="B50" s="29" t="s">
        <v>94</v>
      </c>
      <c r="C50" s="40" t="s">
        <v>52</v>
      </c>
      <c r="D50" s="42">
        <f>LOOKUP(D49,Tax_Tables!B8:B11,Tax_Tables!C8:C11)</f>
        <v>47500</v>
      </c>
    </row>
    <row r="51" spans="2:6" ht="15" hidden="1" customHeight="1" x14ac:dyDescent="0.25">
      <c r="B51" s="29" t="s">
        <v>94</v>
      </c>
      <c r="C51" s="40" t="s">
        <v>26</v>
      </c>
      <c r="D51" s="42">
        <f>IF(D49&gt;0,LOOKUP(D49,Tax_Tables!B8:B11,Tax_Tables!D8:D11),0)</f>
        <v>0.33</v>
      </c>
    </row>
    <row r="52" spans="2:6" ht="15" hidden="1" customHeight="1" x14ac:dyDescent="0.25">
      <c r="B52" s="29" t="s">
        <v>94</v>
      </c>
      <c r="C52" s="40" t="s">
        <v>53</v>
      </c>
      <c r="D52" s="42">
        <f>LOOKUP(D49,Tax_Tables!B8:B11,Tax_Tables!E8:E11)</f>
        <v>200000</v>
      </c>
    </row>
    <row r="53" spans="2:6" ht="15" hidden="1" customHeight="1" x14ac:dyDescent="0.25">
      <c r="B53" s="29" t="s">
        <v>94</v>
      </c>
      <c r="C53" s="40" t="s">
        <v>54</v>
      </c>
      <c r="D53" s="42">
        <f>(D49-D52)*D51+D50</f>
        <v>411587.91208791209</v>
      </c>
    </row>
    <row r="54" spans="2:6" ht="15" hidden="1" customHeight="1" x14ac:dyDescent="0.25">
      <c r="B54" s="29" t="s">
        <v>94</v>
      </c>
      <c r="C54" s="40" t="s">
        <v>85</v>
      </c>
      <c r="D54" s="42">
        <f>D53-D60</f>
        <v>33000</v>
      </c>
    </row>
    <row r="55" spans="2:6" ht="15" hidden="1" customHeight="1" x14ac:dyDescent="0.25">
      <c r="B55" s="29" t="s">
        <v>94</v>
      </c>
      <c r="C55" s="40"/>
      <c r="D55" s="42"/>
    </row>
    <row r="56" spans="2:6" ht="15" hidden="1" customHeight="1" x14ac:dyDescent="0.25">
      <c r="B56" s="29" t="s">
        <v>94</v>
      </c>
      <c r="C56" s="40" t="s">
        <v>51</v>
      </c>
      <c r="D56" s="42">
        <f>IF(D27=0,D21,0)</f>
        <v>1203296.7032967033</v>
      </c>
    </row>
    <row r="57" spans="2:6" ht="15" hidden="1" customHeight="1" x14ac:dyDescent="0.25">
      <c r="B57" s="29" t="s">
        <v>94</v>
      </c>
      <c r="C57" s="40" t="s">
        <v>52</v>
      </c>
      <c r="D57" s="42">
        <f>LOOKUP(D56,Tax_Tables!B8:B11,Tax_Tables!C8:C11)</f>
        <v>47500</v>
      </c>
    </row>
    <row r="58" spans="2:6" ht="15" hidden="1" customHeight="1" x14ac:dyDescent="0.25">
      <c r="B58" s="29" t="s">
        <v>94</v>
      </c>
      <c r="C58" s="40" t="s">
        <v>26</v>
      </c>
      <c r="D58" s="42">
        <f>IF(D56&gt;0,LOOKUP(D56,Tax_Tables!B8:B11,Tax_Tables!D8:D11),0)</f>
        <v>0.33</v>
      </c>
    </row>
    <row r="59" spans="2:6" ht="15" hidden="1" customHeight="1" x14ac:dyDescent="0.25">
      <c r="B59" s="29" t="s">
        <v>94</v>
      </c>
      <c r="C59" s="40" t="s">
        <v>53</v>
      </c>
      <c r="D59" s="42">
        <f>LOOKUP(D56,Tax_Tables!B8:B11,Tax_Tables!E8:E11)</f>
        <v>200000</v>
      </c>
    </row>
    <row r="60" spans="2:6" ht="15" hidden="1" customHeight="1" x14ac:dyDescent="0.25">
      <c r="B60" s="29" t="s">
        <v>94</v>
      </c>
      <c r="C60" s="40" t="s">
        <v>55</v>
      </c>
      <c r="D60" s="42">
        <f>(D56-D59)*D58+D57</f>
        <v>378587.91208791209</v>
      </c>
    </row>
    <row r="61" spans="2:6" ht="15" hidden="1" customHeight="1" x14ac:dyDescent="0.25">
      <c r="B61" s="29" t="s">
        <v>94</v>
      </c>
      <c r="C61" s="40"/>
      <c r="D61" s="42"/>
    </row>
    <row r="62" spans="2:6" ht="15" customHeight="1" thickBot="1" x14ac:dyDescent="0.3">
      <c r="B62" s="43" t="s">
        <v>0</v>
      </c>
      <c r="C62" s="43" t="s">
        <v>1</v>
      </c>
      <c r="D62" s="44">
        <f>D106</f>
        <v>125343.28767123287</v>
      </c>
      <c r="F62" s="2"/>
    </row>
    <row r="63" spans="2:6" ht="15" customHeight="1" thickTop="1" x14ac:dyDescent="0.25">
      <c r="C63" s="7"/>
      <c r="D63" s="8"/>
      <c r="F63" s="12"/>
    </row>
    <row r="64" spans="2:6" ht="15" customHeight="1" x14ac:dyDescent="0.25">
      <c r="B64" s="18"/>
      <c r="C64" s="18" t="s">
        <v>2</v>
      </c>
      <c r="D64" s="48"/>
      <c r="F64" s="2"/>
    </row>
    <row r="65" spans="2:6" x14ac:dyDescent="0.25">
      <c r="B65" s="49"/>
      <c r="C65" s="64" t="s">
        <v>101</v>
      </c>
      <c r="D65" s="65"/>
      <c r="F65" s="2"/>
    </row>
    <row r="66" spans="2:6" x14ac:dyDescent="0.25">
      <c r="B66" s="50"/>
      <c r="C66" s="51" t="s">
        <v>36</v>
      </c>
      <c r="D66" s="52">
        <f>D11+D12+D13-D14</f>
        <v>300000</v>
      </c>
      <c r="F66" s="2"/>
    </row>
    <row r="67" spans="2:6" x14ac:dyDescent="0.25">
      <c r="B67" s="50" t="s">
        <v>6</v>
      </c>
      <c r="C67" s="51" t="s">
        <v>57</v>
      </c>
      <c r="D67" s="52">
        <f>D9</f>
        <v>91</v>
      </c>
      <c r="F67" s="2"/>
    </row>
    <row r="68" spans="2:6" x14ac:dyDescent="0.25">
      <c r="B68" s="50" t="s">
        <v>5</v>
      </c>
      <c r="C68" s="51" t="s">
        <v>56</v>
      </c>
      <c r="D68" s="52">
        <f>D10</f>
        <v>365</v>
      </c>
      <c r="F68" s="2"/>
    </row>
    <row r="69" spans="2:6" x14ac:dyDescent="0.25">
      <c r="B69" s="50" t="s">
        <v>0</v>
      </c>
      <c r="C69" s="51" t="s">
        <v>37</v>
      </c>
      <c r="D69" s="52">
        <f>D66/D67*D68</f>
        <v>1203296.7032967033</v>
      </c>
      <c r="F69" s="2"/>
    </row>
    <row r="70" spans="2:6" x14ac:dyDescent="0.25">
      <c r="B70" s="50"/>
      <c r="C70" s="66" t="s">
        <v>7</v>
      </c>
      <c r="D70" s="65"/>
      <c r="F70" s="2"/>
    </row>
    <row r="71" spans="2:6" x14ac:dyDescent="0.25">
      <c r="B71" s="50" t="s">
        <v>4</v>
      </c>
      <c r="C71" s="51" t="s">
        <v>8</v>
      </c>
      <c r="D71" s="52">
        <f>D59</f>
        <v>200000</v>
      </c>
      <c r="F71" s="11"/>
    </row>
    <row r="72" spans="2:6" x14ac:dyDescent="0.25">
      <c r="B72" s="50" t="s">
        <v>5</v>
      </c>
      <c r="C72" s="51" t="s">
        <v>9</v>
      </c>
      <c r="D72" s="52">
        <f>D35+D45+D58</f>
        <v>0.33</v>
      </c>
    </row>
    <row r="73" spans="2:6" x14ac:dyDescent="0.25">
      <c r="B73" s="50" t="s">
        <v>3</v>
      </c>
      <c r="C73" s="51" t="s">
        <v>10</v>
      </c>
      <c r="D73" s="52">
        <f>D57</f>
        <v>47500</v>
      </c>
    </row>
    <row r="74" spans="2:6" x14ac:dyDescent="0.25">
      <c r="B74" s="50" t="s">
        <v>0</v>
      </c>
      <c r="C74" s="51" t="s">
        <v>58</v>
      </c>
      <c r="D74" s="52">
        <f>D60+D46+D36</f>
        <v>378587.91208791209</v>
      </c>
    </row>
    <row r="75" spans="2:6" hidden="1" x14ac:dyDescent="0.25">
      <c r="B75" s="53" t="s">
        <v>94</v>
      </c>
      <c r="C75" s="54" t="s">
        <v>61</v>
      </c>
      <c r="D75" s="55">
        <f>IF(D6&lt;60,1,0)</f>
        <v>1</v>
      </c>
    </row>
    <row r="76" spans="2:6" hidden="1" x14ac:dyDescent="0.25">
      <c r="B76" s="53" t="s">
        <v>94</v>
      </c>
      <c r="C76" s="54" t="s">
        <v>62</v>
      </c>
      <c r="D76" s="55">
        <f>IF(D75=1,8200,(8200+2700))</f>
        <v>8200</v>
      </c>
    </row>
    <row r="77" spans="2:6" hidden="1" x14ac:dyDescent="0.25">
      <c r="B77" s="53" t="s">
        <v>94</v>
      </c>
      <c r="C77" s="54" t="s">
        <v>87</v>
      </c>
      <c r="D77" s="55">
        <f>IF(D26=1,1,0)</f>
        <v>0</v>
      </c>
    </row>
    <row r="78" spans="2:6" hidden="1" x14ac:dyDescent="0.25">
      <c r="B78" s="53" t="s">
        <v>94</v>
      </c>
      <c r="C78" s="54" t="s">
        <v>88</v>
      </c>
      <c r="D78" s="55">
        <f>IF(D77=1,0,D76)</f>
        <v>8200</v>
      </c>
    </row>
    <row r="79" spans="2:6" x14ac:dyDescent="0.25">
      <c r="B79" s="50" t="s">
        <v>4</v>
      </c>
      <c r="C79" s="51" t="s">
        <v>59</v>
      </c>
      <c r="D79" s="56">
        <f>D78</f>
        <v>8200</v>
      </c>
    </row>
    <row r="80" spans="2:6" hidden="1" x14ac:dyDescent="0.25">
      <c r="B80" s="53" t="s">
        <v>94</v>
      </c>
      <c r="C80" s="54" t="s">
        <v>63</v>
      </c>
      <c r="D80" s="57">
        <f>(D16*10/100)/D9*D10</f>
        <v>0</v>
      </c>
      <c r="F80" s="80"/>
    </row>
    <row r="81" spans="2:6" hidden="1" x14ac:dyDescent="0.25">
      <c r="B81" s="53" t="s">
        <v>94</v>
      </c>
      <c r="C81" s="54" t="s">
        <v>65</v>
      </c>
      <c r="D81" s="57">
        <v>360</v>
      </c>
      <c r="F81" s="81"/>
    </row>
    <row r="82" spans="2:6" hidden="1" x14ac:dyDescent="0.25">
      <c r="B82" s="53" t="s">
        <v>94</v>
      </c>
      <c r="C82" s="54" t="s">
        <v>64</v>
      </c>
      <c r="D82" s="57">
        <f>IF(D80&gt;D81,D81,D80)</f>
        <v>0</v>
      </c>
    </row>
    <row r="83" spans="2:6" hidden="1" x14ac:dyDescent="0.25">
      <c r="B83" s="53" t="s">
        <v>94</v>
      </c>
      <c r="C83" s="54" t="s">
        <v>88</v>
      </c>
      <c r="D83" s="57">
        <f>IF(D77=1,0,D82)</f>
        <v>0</v>
      </c>
    </row>
    <row r="84" spans="2:6" x14ac:dyDescent="0.25">
      <c r="B84" s="50" t="s">
        <v>4</v>
      </c>
      <c r="C84" s="51" t="s">
        <v>60</v>
      </c>
      <c r="D84" s="56">
        <f>D83</f>
        <v>0</v>
      </c>
      <c r="F84" s="79"/>
    </row>
    <row r="85" spans="2:6" x14ac:dyDescent="0.25">
      <c r="B85" s="50" t="s">
        <v>0</v>
      </c>
      <c r="C85" s="51" t="s">
        <v>66</v>
      </c>
      <c r="D85" s="56">
        <f>D74-D79-D84</f>
        <v>370387.91208791209</v>
      </c>
    </row>
    <row r="86" spans="2:6" x14ac:dyDescent="0.25">
      <c r="B86" s="50" t="s">
        <v>6</v>
      </c>
      <c r="C86" s="51" t="s">
        <v>56</v>
      </c>
      <c r="D86" s="52">
        <f>D10</f>
        <v>365</v>
      </c>
    </row>
    <row r="87" spans="2:6" x14ac:dyDescent="0.25">
      <c r="B87" s="50" t="s">
        <v>5</v>
      </c>
      <c r="C87" s="51" t="s">
        <v>57</v>
      </c>
      <c r="D87" s="58">
        <f>D9</f>
        <v>91</v>
      </c>
      <c r="F87" s="9"/>
    </row>
    <row r="88" spans="2:6" x14ac:dyDescent="0.25">
      <c r="B88" s="50" t="s">
        <v>0</v>
      </c>
      <c r="C88" s="51" t="s">
        <v>11</v>
      </c>
      <c r="D88" s="52">
        <f>D85/D86*D87</f>
        <v>92343.287671232873</v>
      </c>
    </row>
    <row r="89" spans="2:6" x14ac:dyDescent="0.25">
      <c r="B89" s="50"/>
      <c r="C89" s="66" t="s">
        <v>12</v>
      </c>
      <c r="D89" s="65"/>
    </row>
    <row r="90" spans="2:6" x14ac:dyDescent="0.25">
      <c r="B90" s="50"/>
      <c r="C90" s="51" t="s">
        <v>13</v>
      </c>
      <c r="D90" s="52">
        <f>D69</f>
        <v>1203296.7032967033</v>
      </c>
    </row>
    <row r="91" spans="2:6" x14ac:dyDescent="0.25">
      <c r="B91" s="50" t="s">
        <v>3</v>
      </c>
      <c r="C91" s="51" t="s">
        <v>14</v>
      </c>
      <c r="D91" s="52">
        <f>D15</f>
        <v>100000</v>
      </c>
    </row>
    <row r="92" spans="2:6" x14ac:dyDescent="0.25">
      <c r="B92" s="50" t="s">
        <v>0</v>
      </c>
      <c r="C92" s="51" t="s">
        <v>15</v>
      </c>
      <c r="D92" s="52">
        <f>SUM(D90:D91)</f>
        <v>1303296.7032967033</v>
      </c>
    </row>
    <row r="93" spans="2:6" x14ac:dyDescent="0.25">
      <c r="B93" s="50"/>
      <c r="C93" s="66" t="s">
        <v>16</v>
      </c>
      <c r="D93" s="65"/>
    </row>
    <row r="94" spans="2:6" x14ac:dyDescent="0.25">
      <c r="B94" s="50" t="s">
        <v>4</v>
      </c>
      <c r="C94" s="51" t="s">
        <v>17</v>
      </c>
      <c r="D94" s="52">
        <f>D52</f>
        <v>200000</v>
      </c>
    </row>
    <row r="95" spans="2:6" x14ac:dyDescent="0.25">
      <c r="B95" s="50" t="s">
        <v>5</v>
      </c>
      <c r="C95" s="51" t="s">
        <v>9</v>
      </c>
      <c r="D95" s="52">
        <f>D30+D40+D51</f>
        <v>0.33</v>
      </c>
    </row>
    <row r="96" spans="2:6" x14ac:dyDescent="0.25">
      <c r="B96" s="50" t="s">
        <v>3</v>
      </c>
      <c r="C96" s="51" t="s">
        <v>18</v>
      </c>
      <c r="D96" s="52">
        <f>D50</f>
        <v>47500</v>
      </c>
    </row>
    <row r="97" spans="2:6" x14ac:dyDescent="0.25">
      <c r="B97" s="50" t="s">
        <v>0</v>
      </c>
      <c r="C97" s="51" t="s">
        <v>67</v>
      </c>
      <c r="D97" s="52">
        <f>D31+D41+D53</f>
        <v>411587.91208791209</v>
      </c>
      <c r="F97" s="2"/>
    </row>
    <row r="98" spans="2:6" x14ac:dyDescent="0.25">
      <c r="B98" s="50" t="s">
        <v>4</v>
      </c>
      <c r="C98" s="51" t="s">
        <v>59</v>
      </c>
      <c r="D98" s="52">
        <f>D79</f>
        <v>8200</v>
      </c>
      <c r="F98" s="2"/>
    </row>
    <row r="99" spans="2:6" x14ac:dyDescent="0.25">
      <c r="B99" s="50" t="s">
        <v>4</v>
      </c>
      <c r="C99" s="51" t="s">
        <v>60</v>
      </c>
      <c r="D99" s="52">
        <f>D84</f>
        <v>0</v>
      </c>
      <c r="F99" s="2"/>
    </row>
    <row r="100" spans="2:6" x14ac:dyDescent="0.25">
      <c r="B100" s="50" t="s">
        <v>0</v>
      </c>
      <c r="C100" s="51" t="s">
        <v>89</v>
      </c>
      <c r="D100" s="52">
        <f>D97-D98-D99</f>
        <v>403387.91208791209</v>
      </c>
      <c r="F100" s="2"/>
    </row>
    <row r="101" spans="2:6" x14ac:dyDescent="0.25">
      <c r="B101" s="50" t="s">
        <v>4</v>
      </c>
      <c r="C101" s="51" t="s">
        <v>19</v>
      </c>
      <c r="D101" s="52">
        <f>D85</f>
        <v>370387.91208791209</v>
      </c>
      <c r="F101" s="2"/>
    </row>
    <row r="102" spans="2:6" x14ac:dyDescent="0.25">
      <c r="B102" s="50" t="s">
        <v>0</v>
      </c>
      <c r="C102" s="50" t="s">
        <v>102</v>
      </c>
      <c r="D102" s="59">
        <f>D100-D101</f>
        <v>33000</v>
      </c>
      <c r="F102" s="2"/>
    </row>
    <row r="103" spans="2:6" x14ac:dyDescent="0.25">
      <c r="B103" s="50" t="s">
        <v>3</v>
      </c>
      <c r="C103" s="51" t="s">
        <v>11</v>
      </c>
      <c r="D103" s="52">
        <f>D88</f>
        <v>92343.287671232873</v>
      </c>
    </row>
    <row r="104" spans="2:6" x14ac:dyDescent="0.25">
      <c r="B104" s="60" t="s">
        <v>0</v>
      </c>
      <c r="C104" s="61" t="s">
        <v>20</v>
      </c>
      <c r="D104" s="62">
        <f>D102+D103</f>
        <v>125343.28767123287</v>
      </c>
      <c r="F104" s="2"/>
    </row>
    <row r="105" spans="2:6" x14ac:dyDescent="0.25">
      <c r="B105" s="50" t="s">
        <v>4</v>
      </c>
      <c r="C105" s="51" t="s">
        <v>38</v>
      </c>
      <c r="D105" s="63">
        <f>D17</f>
        <v>0</v>
      </c>
      <c r="F105" s="2"/>
    </row>
    <row r="106" spans="2:6" ht="12" thickBot="1" x14ac:dyDescent="0.3">
      <c r="B106" s="50" t="s">
        <v>0</v>
      </c>
      <c r="C106" s="66" t="s">
        <v>103</v>
      </c>
      <c r="D106" s="67">
        <f>IF((D104-D105)&lt;0,0,(D104-D105))</f>
        <v>125343.28767123287</v>
      </c>
      <c r="F106" s="2"/>
    </row>
    <row r="107" spans="2:6" ht="12" thickTop="1" x14ac:dyDescent="0.25">
      <c r="F107" s="2"/>
    </row>
    <row r="108" spans="2:6" x14ac:dyDescent="0.25">
      <c r="B108" s="68" t="s">
        <v>21</v>
      </c>
      <c r="C108" s="69"/>
      <c r="D108" s="70"/>
      <c r="E108" s="69"/>
      <c r="F108" s="71"/>
    </row>
    <row r="109" spans="2:6" ht="25" customHeight="1" x14ac:dyDescent="0.2">
      <c r="B109" s="85" t="s">
        <v>98</v>
      </c>
      <c r="C109" s="85"/>
      <c r="D109" s="85"/>
      <c r="E109" s="85"/>
      <c r="F109" s="85"/>
    </row>
    <row r="110" spans="2:6" x14ac:dyDescent="0.25">
      <c r="B110" s="68" t="s">
        <v>22</v>
      </c>
      <c r="C110" s="69"/>
      <c r="D110" s="70"/>
      <c r="E110" s="69"/>
      <c r="F110" s="71"/>
    </row>
    <row r="111" spans="2:6" x14ac:dyDescent="0.25">
      <c r="B111" s="68" t="s">
        <v>100</v>
      </c>
      <c r="C111" s="69"/>
      <c r="D111" s="70"/>
      <c r="E111" s="69"/>
      <c r="F111" s="71"/>
    </row>
    <row r="112" spans="2:6" x14ac:dyDescent="0.25">
      <c r="B112" s="68" t="s">
        <v>23</v>
      </c>
      <c r="C112" s="69"/>
      <c r="D112" s="70"/>
      <c r="E112" s="69"/>
      <c r="F112" s="71"/>
    </row>
    <row r="113" x14ac:dyDescent="0.25"/>
  </sheetData>
  <sheetProtection algorithmName="SHA-512" hashValue="sxRU6Op2yqzZPbU4nYithzu1f+VICMLtW+7JDLvPgZCQ5JdhF1WDqpw1b3my6xivst8E7Q+fC2/FrnvTS8Hy2g==" saltValue="tx5aRFPS3PpvnQZsQILL8w==" spinCount="100000" sheet="1" selectLockedCells="1"/>
  <mergeCells count="3">
    <mergeCell ref="B2:D2"/>
    <mergeCell ref="B109:F109"/>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A440FC-2EB6-41A5-9870-4157EFA5CDED}">
          <x14:formula1>
            <xm:f>'LookUp List'!$A$1:$A$2</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7"/>
  <sheetViews>
    <sheetView showGridLines="0" showRowColHeaders="0" zoomScaleNormal="100" workbookViewId="0">
      <selection activeCell="G3" sqref="G3"/>
    </sheetView>
  </sheetViews>
  <sheetFormatPr defaultColWidth="0" defaultRowHeight="10" zeroHeight="1" x14ac:dyDescent="0.2"/>
  <cols>
    <col min="1" max="1" width="2.1796875" style="2" customWidth="1"/>
    <col min="2" max="2" width="16.81640625" style="2" bestFit="1" customWidth="1"/>
    <col min="3" max="3" width="16.7265625" style="2" customWidth="1"/>
    <col min="4" max="4" width="13.81640625" style="2" customWidth="1"/>
    <col min="5" max="5" width="17.54296875" style="2" customWidth="1"/>
    <col min="6" max="6" width="5.26953125" style="2" customWidth="1"/>
    <col min="7" max="7" width="21.26953125" style="2" customWidth="1"/>
    <col min="8" max="8" width="21.81640625" style="2" customWidth="1"/>
    <col min="9" max="9" width="3.81640625" style="2" customWidth="1"/>
    <col min="10" max="16383" width="40" style="2" hidden="1"/>
    <col min="16384" max="16384" width="5" style="2" hidden="1"/>
  </cols>
  <sheetData>
    <row r="1" spans="2:8" x14ac:dyDescent="0.2"/>
    <row r="2" spans="2:8" x14ac:dyDescent="0.2"/>
    <row r="3" spans="2:8" x14ac:dyDescent="0.2"/>
    <row r="4" spans="2:8" x14ac:dyDescent="0.2"/>
    <row r="5" spans="2:8" x14ac:dyDescent="0.2"/>
    <row r="6" spans="2:8" ht="11.5" x14ac:dyDescent="0.25">
      <c r="B6" s="18" t="s">
        <v>40</v>
      </c>
      <c r="C6" s="72"/>
      <c r="D6" s="72"/>
      <c r="E6" s="72"/>
      <c r="F6" s="72"/>
      <c r="G6" s="18" t="s">
        <v>77</v>
      </c>
      <c r="H6" s="72"/>
    </row>
    <row r="7" spans="2:8" s="1" customFormat="1" ht="11.5" x14ac:dyDescent="0.25">
      <c r="B7" s="73" t="s">
        <v>24</v>
      </c>
      <c r="C7" s="73" t="s">
        <v>25</v>
      </c>
      <c r="D7" s="73" t="s">
        <v>26</v>
      </c>
      <c r="E7" s="73" t="s">
        <v>27</v>
      </c>
      <c r="F7" s="18"/>
      <c r="G7" s="73" t="s">
        <v>24</v>
      </c>
      <c r="H7" s="73" t="s">
        <v>26</v>
      </c>
    </row>
    <row r="8" spans="2:8" ht="11.5" x14ac:dyDescent="0.25">
      <c r="B8" s="51">
        <v>0</v>
      </c>
      <c r="C8" s="51">
        <v>0</v>
      </c>
      <c r="D8" s="74">
        <v>0.2</v>
      </c>
      <c r="E8" s="51">
        <v>0</v>
      </c>
      <c r="F8" s="72"/>
      <c r="G8" s="51">
        <v>0</v>
      </c>
      <c r="H8" s="51">
        <v>0.2</v>
      </c>
    </row>
    <row r="9" spans="2:8" ht="11.5" x14ac:dyDescent="0.25">
      <c r="B9" s="75">
        <v>100001</v>
      </c>
      <c r="C9" s="51">
        <v>20000</v>
      </c>
      <c r="D9" s="74">
        <v>0.25</v>
      </c>
      <c r="E9" s="75">
        <v>100000</v>
      </c>
      <c r="F9" s="72"/>
      <c r="G9" s="51">
        <v>8334</v>
      </c>
      <c r="H9" s="51">
        <v>0.25</v>
      </c>
    </row>
    <row r="10" spans="2:8" ht="11.5" x14ac:dyDescent="0.25">
      <c r="B10" s="75">
        <v>150001</v>
      </c>
      <c r="C10" s="51">
        <v>32500</v>
      </c>
      <c r="D10" s="74">
        <v>0.3</v>
      </c>
      <c r="E10" s="75">
        <v>150000</v>
      </c>
      <c r="F10" s="72"/>
      <c r="G10" s="51">
        <v>12501</v>
      </c>
      <c r="H10" s="51">
        <v>0.3</v>
      </c>
    </row>
    <row r="11" spans="2:8" ht="11.5" x14ac:dyDescent="0.25">
      <c r="B11" s="75">
        <v>200001</v>
      </c>
      <c r="C11" s="51">
        <v>47500</v>
      </c>
      <c r="D11" s="74">
        <v>0.33</v>
      </c>
      <c r="E11" s="75">
        <v>200000</v>
      </c>
      <c r="F11" s="72"/>
      <c r="G11" s="51">
        <v>16667</v>
      </c>
      <c r="H11" s="51">
        <v>0.33</v>
      </c>
    </row>
    <row r="12" spans="2:8" ht="11.5" x14ac:dyDescent="0.25">
      <c r="B12" s="72"/>
      <c r="C12" s="72"/>
      <c r="D12" s="72"/>
      <c r="E12" s="72"/>
      <c r="F12" s="72"/>
      <c r="G12" s="87" t="s">
        <v>78</v>
      </c>
      <c r="H12" s="87"/>
    </row>
    <row r="13" spans="2:8" ht="10.15" hidden="1" customHeight="1" x14ac:dyDescent="0.25">
      <c r="B13" s="72"/>
      <c r="C13" s="72"/>
      <c r="D13" s="72"/>
      <c r="E13" s="72"/>
      <c r="F13" s="72"/>
      <c r="G13" s="88"/>
      <c r="H13" s="88"/>
    </row>
    <row r="14" spans="2:8" ht="10.15" hidden="1" customHeight="1" x14ac:dyDescent="0.25">
      <c r="B14" s="72"/>
      <c r="C14" s="72"/>
      <c r="D14" s="72"/>
      <c r="E14" s="72"/>
      <c r="F14" s="72"/>
      <c r="G14" s="88"/>
      <c r="H14" s="88"/>
    </row>
    <row r="15" spans="2:8" ht="10.15" hidden="1" customHeight="1" x14ac:dyDescent="0.25">
      <c r="B15" s="72"/>
      <c r="C15" s="72"/>
      <c r="D15" s="72"/>
      <c r="E15" s="72"/>
      <c r="F15" s="72"/>
      <c r="G15" s="88"/>
      <c r="H15" s="88"/>
    </row>
    <row r="16" spans="2:8" ht="10.15" hidden="1" customHeight="1" x14ac:dyDescent="0.25">
      <c r="B16" s="72"/>
      <c r="C16" s="72"/>
      <c r="D16" s="72"/>
      <c r="E16" s="72"/>
      <c r="F16" s="72"/>
      <c r="G16" s="88"/>
      <c r="H16" s="88"/>
    </row>
    <row r="17" spans="2:8" ht="10.15" hidden="1" customHeight="1" x14ac:dyDescent="0.25">
      <c r="B17" s="72"/>
      <c r="C17" s="72"/>
      <c r="D17" s="72"/>
      <c r="E17" s="72"/>
      <c r="F17" s="72"/>
      <c r="G17" s="88"/>
      <c r="H17" s="88"/>
    </row>
    <row r="18" spans="2:8" ht="10.15" hidden="1" customHeight="1" x14ac:dyDescent="0.25">
      <c r="B18" s="72"/>
      <c r="C18" s="72"/>
      <c r="D18" s="72"/>
      <c r="E18" s="72"/>
      <c r="F18" s="72"/>
      <c r="G18" s="88"/>
      <c r="H18" s="88"/>
    </row>
    <row r="19" spans="2:8" ht="11.5" x14ac:dyDescent="0.25">
      <c r="B19" s="18" t="s">
        <v>69</v>
      </c>
      <c r="C19" s="72"/>
      <c r="D19" s="72"/>
      <c r="E19" s="72"/>
      <c r="F19" s="72"/>
      <c r="G19" s="88"/>
      <c r="H19" s="88"/>
    </row>
    <row r="20" spans="2:8" ht="11.5" x14ac:dyDescent="0.25">
      <c r="B20" s="73" t="s">
        <v>59</v>
      </c>
      <c r="C20" s="76"/>
      <c r="D20" s="72"/>
      <c r="E20" s="72"/>
      <c r="F20" s="72"/>
      <c r="G20" s="72"/>
      <c r="H20" s="72"/>
    </row>
    <row r="21" spans="2:8" ht="11.5" x14ac:dyDescent="0.25">
      <c r="B21" s="51" t="s">
        <v>70</v>
      </c>
      <c r="C21" s="51">
        <v>8200</v>
      </c>
      <c r="D21" s="72"/>
      <c r="E21" s="72"/>
      <c r="F21" s="72"/>
      <c r="G21" s="72"/>
      <c r="H21" s="72"/>
    </row>
    <row r="22" spans="2:8" ht="11.5" x14ac:dyDescent="0.25">
      <c r="B22" s="51" t="s">
        <v>72</v>
      </c>
      <c r="C22" s="51">
        <v>10900</v>
      </c>
      <c r="D22" s="72"/>
      <c r="E22" s="72"/>
      <c r="F22" s="72"/>
      <c r="G22" s="72"/>
      <c r="H22" s="72"/>
    </row>
    <row r="23" spans="2:8" ht="11.5" x14ac:dyDescent="0.25">
      <c r="B23" s="72"/>
      <c r="C23" s="72"/>
      <c r="D23" s="72"/>
      <c r="E23" s="72"/>
      <c r="F23" s="72"/>
      <c r="G23" s="72"/>
      <c r="H23" s="72"/>
    </row>
    <row r="24" spans="2:8" ht="11.5" x14ac:dyDescent="0.25">
      <c r="B24" s="77" t="s">
        <v>60</v>
      </c>
      <c r="C24" s="78"/>
      <c r="D24" s="78"/>
      <c r="E24" s="78"/>
      <c r="F24" s="72"/>
      <c r="G24" s="72"/>
      <c r="H24" s="72"/>
    </row>
    <row r="25" spans="2:8" ht="11.5" x14ac:dyDescent="0.25">
      <c r="B25" s="51" t="s">
        <v>71</v>
      </c>
      <c r="C25" s="51"/>
      <c r="D25" s="51"/>
      <c r="E25" s="51"/>
      <c r="F25" s="72"/>
      <c r="G25" s="72"/>
      <c r="H25" s="72"/>
    </row>
    <row r="26" spans="2:8" x14ac:dyDescent="0.2"/>
    <row r="27" spans="2:8" x14ac:dyDescent="0.2"/>
  </sheetData>
  <sheetProtection algorithmName="SHA-512" hashValue="nsdC97VKmf+GRxIO2XGOuQZh83XxAQj+j1yLAnQWUMzN6EqHUWidF/BtG3XCx0xRT1ui/B5qLXe37HRa9741+g==" saltValue="0K1Ei+vW5QgdExZu6rLcKA==" spinCount="100000" sheet="1" objects="1" selectLockedCells="1"/>
  <mergeCells count="1">
    <mergeCell ref="G12: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5" x14ac:dyDescent="0.25"/>
  <sheetData>
    <row r="1" spans="1:1" x14ac:dyDescent="0.25">
      <c r="A1" t="s">
        <v>30</v>
      </c>
    </row>
    <row r="2" spans="1:1" x14ac:dyDescent="0.25">
      <c r="A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28</v>
      </c>
      <c r="B1" s="14">
        <v>20</v>
      </c>
    </row>
    <row r="2" spans="1:2" x14ac:dyDescent="0.25">
      <c r="A2" t="s">
        <v>29</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6DFDF505-AC7B-42F0-B4AF-214877F557E0}">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71037282-4172-42af-8e02-c41ee92b0631"/>
    <ds:schemaRef ds:uri="http://purl.org/dc/dcmitype/"/>
    <ds:schemaRef ds:uri="http://schemas.microsoft.com/sharepoint/v3"/>
    <ds:schemaRef ds:uri="http://schemas.microsoft.com/office/infopath/2007/PartnerControls"/>
    <ds:schemaRef ds:uri="20291ebb-8fd5-4a4a-b5a6-ec5249e68ab7"/>
    <ds:schemaRef ds:uri="http://www.w3.org/XML/1998/namespace"/>
    <ds:schemaRef ds:uri="http://purl.org/dc/terms/"/>
  </ds:schemaRefs>
</ds:datastoreItem>
</file>

<file path=customXml/itemProps4.xml><?xml version="1.0" encoding="utf-8"?>
<ds:datastoreItem xmlns:ds="http://schemas.openxmlformats.org/officeDocument/2006/customXml" ds:itemID="{85E1868C-F8B3-44AB-85EC-9C0683545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Marema, Bazil</cp:lastModifiedBy>
  <cp:revision/>
  <cp:lastPrinted>2020-06-23T11:10:53Z</cp:lastPrinted>
  <dcterms:created xsi:type="dcterms:W3CDTF">2005-03-03T11:13:30Z</dcterms:created>
  <dcterms:modified xsi:type="dcterms:W3CDTF">2024-05-13T08:43:21Z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