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Z:\Ania\New brand\Tax Calcs\"/>
    </mc:Choice>
  </mc:AlternateContent>
  <xr:revisionPtr revIDLastSave="0" documentId="8_{47670B71-3B15-497D-BAF7-319E85E7DA5D}" xr6:coauthVersionLast="47" xr6:coauthVersionMax="47" xr10:uidLastSave="{00000000-0000-0000-0000-000000000000}"/>
  <bookViews>
    <workbookView xWindow="28680" yWindow="-120" windowWidth="29040" windowHeight="15840" tabRatio="835" xr2:uid="{00000000-000D-0000-FFFF-FFFF00000000}"/>
  </bookViews>
  <sheets>
    <sheet name="IS Calc" sheetId="9" r:id="rId1"/>
    <sheet name="CN Calc" sheetId="18" r:id="rId2"/>
    <sheet name="IGR Calc" sheetId="24" r:id="rId3"/>
    <sheet name="CE Calc" sheetId="32" r:id="rId4"/>
    <sheet name="TA Calc" sheetId="29" r:id="rId5"/>
    <sheet name="FPC Calc" sheetId="30" r:id="rId6"/>
    <sheet name="Number of Parts" sheetId="26" r:id="rId7"/>
    <sheet name="Tables" sheetId="31" r:id="rId8"/>
    <sheet name="List" sheetId="28" state="hidden" r:id="rId9"/>
    <sheet name="LookUp List" sheetId="17"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30" l="1"/>
  <c r="D28" i="32"/>
  <c r="D37" i="24"/>
  <c r="D29" i="32"/>
  <c r="D27" i="32"/>
  <c r="D21" i="30"/>
  <c r="D22" i="30" s="1"/>
  <c r="D20" i="29"/>
  <c r="D21" i="29" s="1"/>
  <c r="D22" i="32"/>
  <c r="D23" i="32" s="1"/>
  <c r="D23" i="24"/>
  <c r="D24" i="24" s="1"/>
  <c r="D22" i="18"/>
  <c r="D23" i="18" s="1"/>
  <c r="D20" i="9"/>
  <c r="D21" i="9" s="1"/>
  <c r="D33" i="32"/>
  <c r="D30" i="32" l="1"/>
  <c r="D42" i="18"/>
  <c r="D25" i="32"/>
  <c r="D26" i="32" s="1"/>
  <c r="D31" i="32" l="1"/>
  <c r="D32" i="32" s="1"/>
  <c r="D34" i="32" s="1"/>
  <c r="D18" i="32" s="1"/>
  <c r="D27" i="30"/>
  <c r="D27" i="29"/>
  <c r="D49" i="24"/>
  <c r="D27" i="24"/>
  <c r="D26" i="24"/>
  <c r="D46" i="24" s="1"/>
  <c r="D25" i="24"/>
  <c r="D47" i="24" s="1"/>
  <c r="D48" i="18"/>
  <c r="D44" i="18"/>
  <c r="D37" i="18"/>
  <c r="D26" i="18"/>
  <c r="D25" i="18"/>
  <c r="D34" i="18" s="1"/>
  <c r="D24" i="18"/>
  <c r="D27" i="9"/>
  <c r="D47" i="18" l="1"/>
  <c r="D49" i="18" s="1"/>
  <c r="D35" i="18"/>
  <c r="D27" i="18"/>
  <c r="D29" i="18" s="1"/>
  <c r="D28" i="24"/>
  <c r="D30" i="24" l="1"/>
  <c r="D31" i="24" s="1"/>
  <c r="D9" i="24" s="1"/>
  <c r="D33" i="24" s="1"/>
  <c r="D31" i="18"/>
  <c r="D32" i="18"/>
  <c r="D23" i="29" l="1"/>
  <c r="D26" i="29" s="1"/>
  <c r="D28" i="29" s="1"/>
  <c r="D24" i="30"/>
  <c r="D26" i="30" s="1"/>
  <c r="D28" i="30" s="1"/>
  <c r="F45" i="31"/>
  <c r="F44" i="31"/>
  <c r="C44" i="31"/>
  <c r="B44" i="31"/>
  <c r="F43" i="31"/>
  <c r="C43" i="31"/>
  <c r="B43" i="31"/>
  <c r="C42" i="31"/>
  <c r="D18" i="18" l="1"/>
  <c r="D33" i="18"/>
  <c r="D36" i="18" s="1"/>
  <c r="D38" i="18" s="1"/>
  <c r="D44" i="24"/>
  <c r="D17" i="18" l="1"/>
  <c r="D16" i="29"/>
  <c r="D17" i="30"/>
  <c r="D24" i="9" l="1"/>
  <c r="D26" i="9" s="1"/>
  <c r="D28" i="9" s="1"/>
  <c r="D23" i="9"/>
  <c r="D17" i="9" l="1"/>
  <c r="D34" i="24"/>
  <c r="D36" i="24" s="1"/>
  <c r="D38" i="24" s="1"/>
  <c r="D43" i="24" l="1"/>
  <c r="D39" i="24"/>
  <c r="D40" i="24"/>
  <c r="D41" i="24" l="1"/>
  <c r="D42" i="24" s="1"/>
  <c r="D45" i="24" s="1"/>
  <c r="D48" i="24" l="1"/>
  <c r="D50" i="24" s="1"/>
  <c r="D19" i="24" s="1"/>
</calcChain>
</file>

<file path=xl/sharedStrings.xml><?xml version="1.0" encoding="utf-8"?>
<sst xmlns="http://schemas.openxmlformats.org/spreadsheetml/2006/main" count="488" uniqueCount="172">
  <si>
    <t>Tax Deductions</t>
  </si>
  <si>
    <t>=</t>
  </si>
  <si>
    <t>Calculation Detail</t>
  </si>
  <si>
    <t>+</t>
  </si>
  <si>
    <t>-</t>
  </si>
  <si>
    <t>x</t>
  </si>
  <si>
    <t>Percentage given</t>
  </si>
  <si>
    <t>Given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</si>
  <si>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</si>
  <si>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</si>
  <si>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</si>
  <si>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</si>
  <si>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</si>
  <si>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Number of parts</t>
  </si>
  <si>
    <t>Y</t>
  </si>
  <si>
    <t>N</t>
  </si>
  <si>
    <t>Taxable value of allowances</t>
  </si>
  <si>
    <t>Taxable value of fringe benefits</t>
  </si>
  <si>
    <t>Periodic/Annual Earnings</t>
  </si>
  <si>
    <t>IS payable by the employee</t>
  </si>
  <si>
    <t>*</t>
  </si>
  <si>
    <t>80% of taxable earnings for the period</t>
  </si>
  <si>
    <t>CN payable by employee</t>
  </si>
  <si>
    <t xml:space="preserve">Calculate CN According to Statutory Tables </t>
  </si>
  <si>
    <t>CN due in this period by the employer</t>
  </si>
  <si>
    <t>CN due in this period by the employee</t>
  </si>
  <si>
    <t>CN payable by employer</t>
  </si>
  <si>
    <t>IGR payable by employee</t>
  </si>
  <si>
    <t>IGR due in this period</t>
  </si>
  <si>
    <t>X</t>
  </si>
  <si>
    <t>Variable amount</t>
  </si>
  <si>
    <t>IGR due in this period by the employee</t>
  </si>
  <si>
    <t xml:space="preserve">Calculate IGR According to Statutory Tables </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</si>
  <si>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</si>
  <si>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</si>
  <si>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</si>
  <si>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</si>
  <si>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</si>
  <si>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</si>
  <si>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</si>
  <si>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</si>
  <si>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</si>
  <si>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</si>
  <si>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</si>
  <si>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</si>
  <si>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</si>
  <si>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</si>
  <si>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</si>
  <si>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</si>
  <si>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</si>
  <si>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</si>
  <si>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</si>
  <si>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Calculate TA According to Statutory Rates</t>
  </si>
  <si>
    <t>TA due in this period by the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</si>
  <si>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</si>
  <si>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</si>
  <si>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</si>
  <si>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</si>
  <si>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</si>
  <si>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</si>
  <si>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</si>
  <si>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</si>
  <si>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</si>
  <si>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</si>
  <si>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</si>
  <si>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</si>
  <si>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</si>
  <si>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</si>
  <si>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</si>
  <si>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</si>
  <si>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</si>
  <si>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</si>
  <si>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</si>
  <si>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</si>
  <si>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</si>
  <si>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</si>
  <si>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</si>
  <si>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</si>
  <si>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</si>
  <si>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Other taxable employment income (not specified above)</t>
  </si>
  <si>
    <t>CN</t>
  </si>
  <si>
    <t>IGR</t>
  </si>
  <si>
    <t>80% of employment income for the period</t>
  </si>
  <si>
    <t>Other taxable employment income not specified above (for example taxable portion of severance pay)</t>
  </si>
  <si>
    <t>For example annual bonus</t>
  </si>
  <si>
    <t>T</t>
  </si>
  <si>
    <t>/</t>
  </si>
  <si>
    <t>number of parts</t>
  </si>
  <si>
    <t xml:space="preserve">80% of taxable employment income </t>
  </si>
  <si>
    <t>R/N</t>
  </si>
  <si>
    <t>Value as per table</t>
  </si>
  <si>
    <t>Exceeding 2 400 000</t>
  </si>
  <si>
    <t>FPC on Normal Earnings</t>
  </si>
  <si>
    <t>Calculate CN According to statutory %</t>
  </si>
  <si>
    <t>To the maximum of 5 part</t>
  </si>
  <si>
    <t>**</t>
  </si>
  <si>
    <t>Can be 1.5 in certain scenarios</t>
  </si>
  <si>
    <t>Currently there are no tax deductibles according to law, this will remain should it change</t>
  </si>
  <si>
    <t>IS due for the period</t>
  </si>
  <si>
    <t>IS already paid/withheld during the year (excluding current period)</t>
  </si>
  <si>
    <t>Taxable salary for the tax year</t>
  </si>
  <si>
    <t>IS already paid/withheld during the tax year (excluding current period)</t>
  </si>
  <si>
    <t>IS deduction for the tax year</t>
  </si>
  <si>
    <t xml:space="preserve">CN employee contribution due in this period </t>
  </si>
  <si>
    <t>Days employed in the tax year</t>
  </si>
  <si>
    <t>Total days in the tax year</t>
  </si>
  <si>
    <t>360</t>
  </si>
  <si>
    <t>This will always be 360 for the tax year</t>
  </si>
  <si>
    <t>CN on employment income for the tax year</t>
  </si>
  <si>
    <t>Taxable employment income for the tax year</t>
  </si>
  <si>
    <t>Taxable employment income for the tax year (excluding annual/periodic earnings)</t>
  </si>
  <si>
    <t>Periodic/annual earnings</t>
  </si>
  <si>
    <t>CN for the tax year</t>
  </si>
  <si>
    <t>CN for the total tax year</t>
  </si>
  <si>
    <t>Employer CN contribution already contributed for the tax year (excluding current period)</t>
  </si>
  <si>
    <t>Employee CN contribution already paid/withheld for the tax year (excluding current period)</t>
  </si>
  <si>
    <t>CN employer contribution due in this period</t>
  </si>
  <si>
    <t>Annualized employment income for the tax year (including annual periodic earnings)</t>
  </si>
  <si>
    <t>80% of employment income for the tax year</t>
  </si>
  <si>
    <t>Number of parts/shares used for the tax year</t>
  </si>
  <si>
    <t>IGR already paid/withheld for the tax year (exlcuding current period)</t>
  </si>
  <si>
    <t>IGR on employment income for the tax year</t>
  </si>
  <si>
    <t>Taxable employment income for the tax year (exlcuding period/annual earnings)</t>
  </si>
  <si>
    <t>Employee IS and CN contribution for the tax year</t>
  </si>
  <si>
    <t>IGR on employment income for the total tax year</t>
  </si>
  <si>
    <t>IGR for the period employed in the tax year</t>
  </si>
  <si>
    <t>IGR already paid/withhled for the tax year (excluding the current period)</t>
  </si>
  <si>
    <t>Value as per tabe</t>
  </si>
  <si>
    <t>TA already contributed for the tax year (excluding current period)</t>
  </si>
  <si>
    <t>TA on employment income for the tax year</t>
  </si>
  <si>
    <t>TA already paud/contributed during the tax year (excluding the current period)</t>
  </si>
  <si>
    <t>FPC already contributed for the tax year (excluding current period)</t>
  </si>
  <si>
    <t>FPC on employment income for the tax year</t>
  </si>
  <si>
    <t>HIDE</t>
  </si>
  <si>
    <t>80% of taxable employment income for the tax year</t>
  </si>
  <si>
    <t>CN for the period employed in the tax year</t>
  </si>
  <si>
    <t>This will be calculated since it must be calculaed on annualized income and not the same as the Regularization IS calculation which is the actual YTD income</t>
  </si>
  <si>
    <t>Is this employee an expatriate?</t>
  </si>
  <si>
    <t>Indicate whether this employee is an expatriate (select Y or n from the list)</t>
  </si>
  <si>
    <t>CE due for the period</t>
  </si>
  <si>
    <t>CE contribution for the tax year</t>
  </si>
  <si>
    <t>CE already contributed during the year (excluding current period)</t>
  </si>
  <si>
    <t>CE already contributed during the tax year (excluding current period)</t>
  </si>
  <si>
    <t>Taxable salary/wage for the tax year</t>
  </si>
  <si>
    <t>Annual IS employee contribution used for regularization calculation</t>
  </si>
  <si>
    <t>Annual CN employee contribution used for regularization calculation</t>
  </si>
  <si>
    <t>Annualised salary/wage</t>
  </si>
  <si>
    <t>Salary/wage must be annualised to determine of the annual salary/wage is below the annual minimum of 300 000</t>
  </si>
  <si>
    <t>Annualised employment income for the tax year (including annual periodic earnings)</t>
  </si>
  <si>
    <t>Indicate whether this employee is employed in the agricultural regime (included in the categories listed in article 147 of the CGI)</t>
  </si>
  <si>
    <t>Employee employed in the agricultural regime (included in the categories listed in article 147 of the CGI)?</t>
  </si>
  <si>
    <t>HIDE - AGRICULTURAL</t>
  </si>
  <si>
    <t>HIDE - GENERAL AND EXPATRIATE</t>
  </si>
  <si>
    <t>HIDE - AGRICULTURAL AND EXPATRIATE</t>
  </si>
  <si>
    <t>Regularization Employer Contribution (CE) Calculation for Ivory Coast 2022</t>
  </si>
  <si>
    <t>© Copyright 2022 by Sage South Africa, a division of Sage South Africa (Pty) Ltd hereinafter referred to as “Sage”, under the Copyright Law of the Republic of South Africa.</t>
  </si>
  <si>
    <t>Regularization Salary Tax (IS) Calculation for Ivory Coast 2022</t>
  </si>
  <si>
    <t>Regularization National Contribution (CN) Calculation for Ivory Coast 2022</t>
  </si>
  <si>
    <t>RegularizationVocational Training Tax (FPC) Calculation for Ivory Coast 2022</t>
  </si>
  <si>
    <t>Regularization General Income Tax (IGR) Calculation for Ivory Coast 2022</t>
  </si>
  <si>
    <t>Regularization Apprenticeship Tax (TA) Calculation for Ivory Coast 2022</t>
  </si>
  <si>
    <t>Contribution %</t>
  </si>
  <si>
    <t>CE payable by the employer</t>
  </si>
  <si>
    <t>250</t>
  </si>
  <si>
    <t>28800</t>
  </si>
  <si>
    <t>The regularization calculation will always be with the full % of 1,5%, the employer must then provide proof of the training carried out (approval from the professional training development fund, contracts, invoices etc.) and there may be residual tax payable if the training plans are less than 0,75% or if the 0,75% paid during the year is less than what should have been paid or if all or part of the 0,75% has not been used for professional traning purposes. This calculation may happen outside the payroll (for reporting purposes)</t>
  </si>
  <si>
    <r>
      <t>Enter the applicable year-to-date values in the</t>
    </r>
    <r>
      <rPr>
        <b/>
        <sz val="11"/>
        <color rgb="FFFF5800"/>
        <rFont val="Sage Text Medium"/>
      </rPr>
      <t xml:space="preserve"> </t>
    </r>
    <r>
      <rPr>
        <b/>
        <sz val="11"/>
        <color rgb="FF00DC00"/>
        <rFont val="Sage Text Medium"/>
      </rPr>
      <t>green</t>
    </r>
    <r>
      <rPr>
        <b/>
        <sz val="11"/>
        <rFont val="Sage Text Medium"/>
      </rPr>
      <t xml:space="preserve"> areas</t>
    </r>
  </si>
  <si>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</si>
  <si>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</si>
  <si>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year-to-date values in the</t>
    </r>
    <r>
      <rPr>
        <b/>
        <sz val="11"/>
        <color rgb="FF00D739"/>
        <rFont val="Sage Text Medium"/>
      </rPr>
      <t xml:space="preserve"> green</t>
    </r>
    <r>
      <rPr>
        <b/>
        <sz val="11"/>
        <rFont val="Sage Text Medium"/>
      </rPr>
      <t xml:space="preserve"> areas</t>
    </r>
  </si>
  <si>
    <t>This will be the same value as row 33 in the CN Calc (CN for the total tax year), should all amounts be the same in the CN Calc</t>
  </si>
  <si>
    <t>Refer to 'number of parts' tab to determine the number of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</si>
</sst>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0_ ;\-#,##0\ "/>
    <numFmt numFmtId="167" formatCode="0.00_ ;\-0.00\ "/>
    <numFmt numFmtId="168" formatCode="#,##0.00_ ;\-#,##0.00\ "/>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C00"/>
      <name val="Sage Text Medium"/>
    </font>
    <font>
      <b/>
      <sz val="11"/>
      <color rgb="FF00D739"/>
      <name val="Sage Text Medium"/>
    </font>
    <font>
      <i/>
      <sz val="9"/>
      <color theme="1"/>
      <name val="Sage Text Light"/>
    </font>
    <font>
      <i/>
      <sz val="8"/>
      <color theme="1"/>
      <name val="Sage Text Light"/>
    </font>
    <font>
      <sz val="8"/>
      <color theme="1"/>
      <name val="Sage Text Light"/>
    </font>
    <font>
      <sz val="9"/>
      <color theme="1"/>
      <name val="Sage Text Light"/>
    </font>
    <font>
      <sz val="10"/>
      <name val="Sage UI"/>
    </font>
    <font>
      <b/>
      <sz val="9"/>
      <name val="Sage UI"/>
    </font>
    <font>
      <b/>
      <sz val="10"/>
      <name val="Sage UI"/>
    </font>
    <font>
      <sz val="9"/>
      <name val="Sage UI"/>
    </font>
    <font>
      <sz val="9"/>
      <color theme="1"/>
      <name val="Sage UI"/>
    </font>
    <font>
      <sz val="8"/>
      <name val="Sage UI"/>
    </font>
    <font>
      <b/>
      <sz val="10"/>
      <color theme="1"/>
      <name val="Sage UI"/>
    </font>
    <font>
      <b/>
      <u/>
      <sz val="10"/>
      <name val="Sage UI"/>
    </font>
    <font>
      <sz val="10"/>
      <color theme="1"/>
      <name val="Sage UI"/>
    </font>
    <font>
      <b/>
      <sz val="9"/>
      <color theme="1"/>
      <name val="Sage Text Light"/>
    </font>
    <font>
      <b/>
      <sz val="9"/>
      <color theme="0"/>
      <name val="Sage UI"/>
    </font>
    <font>
      <b/>
      <sz val="9"/>
      <color theme="1"/>
      <name val="Sage UI"/>
    </font>
    <font>
      <b/>
      <sz val="11"/>
      <color theme="0"/>
      <name val="Sage UI"/>
    </font>
    <font>
      <b/>
      <sz val="10"/>
      <color theme="0"/>
      <name val="Sage UI"/>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2"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187">
    <xf numFmtId="0" fontId="0" fillId="0" borderId="0" xfId="0"/>
    <xf numFmtId="0" fontId="7" fillId="0" borderId="0" xfId="0" applyFont="1"/>
    <xf numFmtId="0" fontId="8" fillId="0" borderId="0" xfId="0" applyFont="1"/>
    <xf numFmtId="165" fontId="9" fillId="0" borderId="0" xfId="1" applyFont="1" applyAlignment="1">
      <alignment horizontal="center"/>
    </xf>
    <xf numFmtId="165" fontId="10" fillId="0" borderId="0" xfId="1" applyFont="1" applyAlignment="1">
      <alignment horizontal="center"/>
    </xf>
    <xf numFmtId="0" fontId="11" fillId="0" borderId="0" xfId="0" applyFont="1"/>
    <xf numFmtId="165" fontId="7" fillId="0" borderId="0" xfId="1" applyFont="1"/>
    <xf numFmtId="0" fontId="7" fillId="2" borderId="0" xfId="0" applyFont="1" applyFill="1"/>
    <xf numFmtId="1" fontId="0" fillId="0" borderId="0" xfId="0" applyNumberFormat="1"/>
    <xf numFmtId="49" fontId="13" fillId="0" borderId="6" xfId="1" applyNumberFormat="1" applyFont="1" applyBorder="1" applyAlignment="1"/>
    <xf numFmtId="49" fontId="13" fillId="0" borderId="6" xfId="0" applyNumberFormat="1" applyFont="1" applyBorder="1" applyAlignment="1">
      <alignment horizontal="center"/>
    </xf>
    <xf numFmtId="0" fontId="5" fillId="0" borderId="0" xfId="0" applyFont="1"/>
    <xf numFmtId="0" fontId="7" fillId="0" borderId="0" xfId="4" applyFont="1"/>
    <xf numFmtId="0" fontId="6" fillId="0" borderId="0" xfId="4" applyFont="1"/>
    <xf numFmtId="0" fontId="14" fillId="5" borderId="1" xfId="4" applyFont="1" applyFill="1" applyBorder="1" applyAlignment="1">
      <alignment wrapText="1"/>
    </xf>
    <xf numFmtId="0" fontId="15" fillId="5" borderId="1" xfId="4" applyFont="1" applyFill="1" applyBorder="1" applyAlignment="1">
      <alignment horizontal="center"/>
    </xf>
    <xf numFmtId="0" fontId="7" fillId="0" borderId="1" xfId="4" applyFont="1" applyBorder="1" applyAlignment="1">
      <alignment horizontal="right"/>
    </xf>
    <xf numFmtId="0" fontId="7" fillId="0" borderId="31" xfId="4" applyFont="1" applyBorder="1" applyAlignment="1">
      <alignment horizontal="right"/>
    </xf>
    <xf numFmtId="0" fontId="16" fillId="5" borderId="1" xfId="0" applyFont="1" applyFill="1" applyBorder="1"/>
    <xf numFmtId="4" fontId="7" fillId="0" borderId="1" xfId="4" applyNumberFormat="1" applyFont="1" applyBorder="1"/>
    <xf numFmtId="4" fontId="7" fillId="0" borderId="1" xfId="26" applyNumberFormat="1" applyFont="1" applyBorder="1"/>
    <xf numFmtId="4" fontId="7" fillId="0" borderId="1" xfId="0" applyNumberFormat="1" applyFont="1" applyBorder="1"/>
    <xf numFmtId="4" fontId="0" fillId="0" borderId="1" xfId="0" applyNumberFormat="1" applyBorder="1"/>
    <xf numFmtId="10" fontId="0" fillId="0" borderId="0" xfId="0" applyNumberFormat="1"/>
    <xf numFmtId="0" fontId="5" fillId="0" borderId="6" xfId="0" applyFont="1" applyBorder="1" applyAlignment="1">
      <alignment horizontal="center"/>
    </xf>
    <xf numFmtId="0" fontId="0" fillId="0" borderId="6" xfId="0" applyBorder="1" applyAlignment="1">
      <alignment horizontal="center"/>
    </xf>
    <xf numFmtId="0" fontId="0" fillId="0" borderId="0" xfId="0" applyBorder="1" applyAlignment="1">
      <alignment horizontal="center"/>
    </xf>
    <xf numFmtId="165" fontId="17" fillId="8" borderId="2" xfId="1" applyFont="1" applyFill="1" applyBorder="1" applyAlignment="1">
      <alignment horizontal="center" vertical="center"/>
    </xf>
    <xf numFmtId="165" fontId="17" fillId="8" borderId="3" xfId="1" applyFont="1" applyFill="1" applyBorder="1" applyAlignment="1">
      <alignment horizontal="center" vertical="center"/>
    </xf>
    <xf numFmtId="165" fontId="17" fillId="8" borderId="4" xfId="1" applyFont="1" applyFill="1" applyBorder="1" applyAlignment="1">
      <alignment horizontal="center" vertical="center"/>
    </xf>
    <xf numFmtId="49" fontId="18" fillId="0" borderId="0" xfId="1" applyNumberFormat="1" applyFont="1" applyBorder="1" applyAlignment="1">
      <alignment horizontal="center"/>
    </xf>
    <xf numFmtId="0" fontId="22" fillId="0" borderId="0" xfId="0" applyFont="1" applyAlignment="1">
      <alignment horizontal="left" vertical="top" wrapText="1"/>
    </xf>
    <xf numFmtId="0" fontId="22" fillId="0" borderId="0" xfId="0" applyFont="1" applyAlignment="1">
      <alignment horizontal="left"/>
    </xf>
    <xf numFmtId="0" fontId="22" fillId="0" borderId="0" xfId="0" applyFont="1" applyAlignment="1">
      <alignment horizontal="left" wrapText="1"/>
    </xf>
    <xf numFmtId="0" fontId="23" fillId="0" borderId="0" xfId="0" applyFont="1"/>
    <xf numFmtId="0" fontId="24" fillId="0" borderId="0" xfId="0" applyFont="1"/>
    <xf numFmtId="0" fontId="22" fillId="0" borderId="0" xfId="0" applyFont="1"/>
    <xf numFmtId="0" fontId="22" fillId="0" borderId="0" xfId="0" applyFont="1" applyAlignment="1">
      <alignment horizontal="center" vertical="top" wrapText="1"/>
    </xf>
    <xf numFmtId="0" fontId="25" fillId="0" borderId="0" xfId="0" applyFont="1"/>
    <xf numFmtId="165" fontId="25" fillId="0" borderId="0" xfId="1" applyFont="1" applyProtection="1">
      <protection locked="0"/>
    </xf>
    <xf numFmtId="0" fontId="25" fillId="0" borderId="0" xfId="0" applyFont="1" applyAlignment="1">
      <alignment vertical="center"/>
    </xf>
    <xf numFmtId="165" fontId="25" fillId="0" borderId="0" xfId="1" applyFont="1"/>
    <xf numFmtId="0" fontId="25" fillId="0" borderId="0" xfId="0" applyFont="1" applyAlignment="1">
      <alignment horizontal="left" vertical="top" wrapText="1"/>
    </xf>
    <xf numFmtId="49" fontId="26" fillId="0" borderId="1" xfId="1" applyNumberFormat="1" applyFont="1" applyBorder="1" applyAlignment="1">
      <alignment wrapText="1"/>
    </xf>
    <xf numFmtId="49" fontId="26" fillId="9" borderId="1" xfId="0" applyNumberFormat="1" applyFont="1" applyFill="1" applyBorder="1" applyAlignment="1" applyProtection="1">
      <alignment horizontal="right"/>
      <protection locked="0"/>
    </xf>
    <xf numFmtId="49" fontId="26" fillId="0" borderId="1" xfId="1" applyNumberFormat="1" applyFont="1" applyBorder="1" applyAlignment="1"/>
    <xf numFmtId="0" fontId="26" fillId="0" borderId="1" xfId="0" applyFont="1" applyBorder="1"/>
    <xf numFmtId="166" fontId="26" fillId="9" borderId="1" xfId="1" applyNumberFormat="1" applyFont="1" applyFill="1" applyBorder="1" applyProtection="1">
      <protection locked="0"/>
    </xf>
    <xf numFmtId="0" fontId="28" fillId="0" borderId="1" xfId="0" applyFont="1" applyBorder="1"/>
    <xf numFmtId="166" fontId="28" fillId="0" borderId="5" xfId="1" applyNumberFormat="1" applyFont="1" applyBorder="1"/>
    <xf numFmtId="0" fontId="32" fillId="0" borderId="0" xfId="0" applyFont="1" applyFill="1" applyBorder="1" applyAlignment="1">
      <alignment horizontal="left"/>
    </xf>
    <xf numFmtId="0" fontId="22" fillId="0" borderId="0" xfId="0" applyFont="1" applyFill="1" applyAlignment="1">
      <alignment horizontal="left" wrapText="1"/>
    </xf>
    <xf numFmtId="0" fontId="32" fillId="0" borderId="0" xfId="0" applyFont="1"/>
    <xf numFmtId="165" fontId="33" fillId="0" borderId="0" xfId="1" applyFont="1" applyAlignment="1">
      <alignment horizontal="center"/>
    </xf>
    <xf numFmtId="49" fontId="26" fillId="3" borderId="1" xfId="0" applyNumberFormat="1" applyFont="1" applyFill="1" applyBorder="1" applyAlignment="1">
      <alignment horizontal="right"/>
    </xf>
    <xf numFmtId="0" fontId="28" fillId="0" borderId="0" xfId="0" applyFont="1"/>
    <xf numFmtId="164" fontId="26" fillId="0" borderId="0" xfId="1" applyNumberFormat="1" applyFont="1"/>
    <xf numFmtId="0" fontId="28" fillId="0" borderId="1" xfId="0" applyFont="1" applyBorder="1" applyAlignment="1">
      <alignment horizontal="center"/>
    </xf>
    <xf numFmtId="0" fontId="26" fillId="0" borderId="1" xfId="0" applyFont="1" applyFill="1" applyBorder="1" applyAlignment="1">
      <alignment horizontal="left"/>
    </xf>
    <xf numFmtId="165" fontId="26" fillId="0" borderId="1" xfId="1" applyFont="1" applyFill="1" applyBorder="1"/>
    <xf numFmtId="0" fontId="34" fillId="0" borderId="1" xfId="0" applyFont="1" applyFill="1" applyBorder="1" applyAlignment="1">
      <alignment horizontal="left"/>
    </xf>
    <xf numFmtId="166" fontId="26" fillId="0" borderId="1" xfId="1" applyNumberFormat="1" applyFont="1" applyFill="1" applyBorder="1"/>
    <xf numFmtId="166" fontId="26" fillId="0" borderId="1" xfId="1" applyNumberFormat="1" applyFont="1" applyBorder="1"/>
    <xf numFmtId="49" fontId="26" fillId="0" borderId="1" xfId="1" applyNumberFormat="1" applyFont="1" applyBorder="1" applyAlignment="1">
      <alignment horizontal="right"/>
    </xf>
    <xf numFmtId="166" fontId="26" fillId="0" borderId="1" xfId="1" applyNumberFormat="1" applyFont="1" applyBorder="1" applyAlignment="1">
      <alignment horizontal="right"/>
    </xf>
    <xf numFmtId="3" fontId="26" fillId="0" borderId="1" xfId="1" applyNumberFormat="1" applyFont="1" applyBorder="1" applyAlignment="1">
      <alignment horizontal="right"/>
    </xf>
    <xf numFmtId="10" fontId="26" fillId="0" borderId="1" xfId="1" applyNumberFormat="1" applyFont="1" applyBorder="1" applyAlignment="1">
      <alignment horizontal="right"/>
    </xf>
    <xf numFmtId="0" fontId="26" fillId="0" borderId="1" xfId="0" applyFont="1" applyFill="1" applyBorder="1"/>
    <xf numFmtId="165" fontId="26" fillId="0" borderId="1" xfId="1" applyFont="1" applyFill="1" applyBorder="1" applyAlignment="1">
      <alignment horizontal="right"/>
    </xf>
    <xf numFmtId="165" fontId="26" fillId="0" borderId="1" xfId="1" applyFont="1" applyBorder="1" applyAlignment="1">
      <alignment horizontal="right"/>
    </xf>
    <xf numFmtId="0" fontId="28" fillId="6" borderId="1" xfId="0" applyFont="1" applyFill="1" applyBorder="1"/>
    <xf numFmtId="166" fontId="28" fillId="6" borderId="5" xfId="1" applyNumberFormat="1" applyFont="1" applyFill="1" applyBorder="1"/>
    <xf numFmtId="0" fontId="26" fillId="0" borderId="0" xfId="0" applyFont="1"/>
    <xf numFmtId="165" fontId="26" fillId="0" borderId="0" xfId="1" applyFont="1"/>
    <xf numFmtId="10" fontId="26" fillId="0" borderId="1" xfId="1" applyNumberFormat="1" applyFont="1" applyBorder="1"/>
    <xf numFmtId="0" fontId="28" fillId="0" borderId="0" xfId="0" applyFont="1" applyFill="1" applyBorder="1" applyAlignment="1">
      <alignment horizontal="center"/>
    </xf>
    <xf numFmtId="165" fontId="26" fillId="0" borderId="0" xfId="1" applyFont="1" applyFill="1" applyBorder="1"/>
    <xf numFmtId="0" fontId="28" fillId="0" borderId="1" xfId="0" applyFont="1" applyFill="1" applyBorder="1" applyAlignment="1">
      <alignment horizontal="center"/>
    </xf>
    <xf numFmtId="9" fontId="26" fillId="0" borderId="1" xfId="0" applyNumberFormat="1" applyFont="1" applyBorder="1"/>
    <xf numFmtId="9" fontId="26" fillId="7" borderId="1" xfId="0" applyNumberFormat="1" applyFont="1" applyFill="1" applyBorder="1"/>
    <xf numFmtId="3" fontId="26" fillId="7" borderId="1" xfId="1" applyNumberFormat="1" applyFont="1" applyFill="1" applyBorder="1"/>
    <xf numFmtId="166" fontId="28" fillId="6" borderId="1" xfId="1" applyNumberFormat="1" applyFont="1" applyFill="1" applyBorder="1"/>
    <xf numFmtId="1" fontId="26" fillId="9" borderId="1" xfId="1" applyNumberFormat="1" applyFont="1" applyFill="1" applyBorder="1" applyProtection="1">
      <protection locked="0"/>
    </xf>
    <xf numFmtId="0" fontId="29" fillId="0" borderId="1" xfId="4" applyFont="1" applyBorder="1"/>
    <xf numFmtId="2" fontId="26" fillId="9" borderId="1" xfId="0" applyNumberFormat="1" applyFont="1" applyFill="1" applyBorder="1" applyAlignment="1" applyProtection="1">
      <alignment horizontal="right"/>
      <protection locked="0"/>
    </xf>
    <xf numFmtId="3" fontId="26" fillId="3" borderId="1" xfId="0" applyNumberFormat="1" applyFont="1" applyFill="1" applyBorder="1" applyAlignment="1">
      <alignment horizontal="right"/>
    </xf>
    <xf numFmtId="0" fontId="28" fillId="0" borderId="1" xfId="4" applyFont="1" applyBorder="1"/>
    <xf numFmtId="0" fontId="26" fillId="0" borderId="1" xfId="4" applyFont="1" applyBorder="1"/>
    <xf numFmtId="165" fontId="28" fillId="6" borderId="1" xfId="1" applyFont="1" applyFill="1" applyBorder="1"/>
    <xf numFmtId="9" fontId="26" fillId="0" borderId="1" xfId="0" applyNumberFormat="1" applyFont="1" applyFill="1" applyBorder="1"/>
    <xf numFmtId="10" fontId="26" fillId="0" borderId="1" xfId="1" applyNumberFormat="1" applyFont="1" applyFill="1" applyBorder="1"/>
    <xf numFmtId="167" fontId="26" fillId="0" borderId="1" xfId="1" applyNumberFormat="1" applyFont="1" applyFill="1" applyBorder="1"/>
    <xf numFmtId="168" fontId="26" fillId="0" borderId="1" xfId="1" applyNumberFormat="1" applyFont="1" applyBorder="1" applyAlignment="1">
      <alignment horizontal="right"/>
    </xf>
    <xf numFmtId="165" fontId="26" fillId="0" borderId="1" xfId="1" applyFont="1" applyBorder="1"/>
    <xf numFmtId="49" fontId="26" fillId="4" borderId="1" xfId="0" applyNumberFormat="1" applyFont="1" applyFill="1" applyBorder="1" applyAlignment="1" applyProtection="1">
      <alignment horizontal="right"/>
      <protection locked="0"/>
    </xf>
    <xf numFmtId="166" fontId="26" fillId="4" borderId="1" xfId="1" applyNumberFormat="1" applyFont="1" applyFill="1" applyBorder="1" applyProtection="1">
      <protection locked="0"/>
    </xf>
    <xf numFmtId="49" fontId="28" fillId="0" borderId="6" xfId="1" applyNumberFormat="1" applyFont="1" applyBorder="1" applyAlignment="1"/>
    <xf numFmtId="49" fontId="28" fillId="0" borderId="6" xfId="0" applyNumberFormat="1" applyFont="1" applyBorder="1" applyAlignment="1">
      <alignment horizontal="center"/>
    </xf>
    <xf numFmtId="0" fontId="26" fillId="7" borderId="1" xfId="0" applyFont="1" applyFill="1" applyBorder="1"/>
    <xf numFmtId="1" fontId="26" fillId="0" borderId="1" xfId="1" applyNumberFormat="1" applyFont="1" applyBorder="1"/>
    <xf numFmtId="49" fontId="26" fillId="9" borderId="6" xfId="0" applyNumberFormat="1" applyFont="1" applyFill="1" applyBorder="1" applyAlignment="1" applyProtection="1">
      <alignment horizontal="right"/>
      <protection locked="0"/>
    </xf>
    <xf numFmtId="165" fontId="26" fillId="6" borderId="1" xfId="1" applyFont="1" applyFill="1" applyBorder="1"/>
    <xf numFmtId="0" fontId="35" fillId="0" borderId="0" xfId="0" applyFont="1"/>
    <xf numFmtId="165" fontId="24" fillId="0" borderId="0" xfId="1" applyFont="1"/>
    <xf numFmtId="10" fontId="26" fillId="3" borderId="1" xfId="0" applyNumberFormat="1" applyFont="1" applyFill="1" applyBorder="1" applyAlignment="1" applyProtection="1">
      <alignment horizontal="right"/>
    </xf>
    <xf numFmtId="0" fontId="28" fillId="6" borderId="1" xfId="0" applyFont="1" applyFill="1" applyBorder="1" applyAlignment="1">
      <alignment horizontal="left"/>
    </xf>
    <xf numFmtId="0" fontId="31" fillId="0" borderId="1" xfId="4" applyFont="1" applyBorder="1"/>
    <xf numFmtId="0" fontId="27" fillId="0" borderId="0" xfId="4" applyFont="1"/>
    <xf numFmtId="0" fontId="36" fillId="8" borderId="2" xfId="4" applyFont="1" applyFill="1" applyBorder="1" applyAlignment="1">
      <alignment horizontal="center" vertical="center"/>
    </xf>
    <xf numFmtId="0" fontId="36" fillId="8" borderId="4" xfId="4" applyFont="1" applyFill="1" applyBorder="1" applyAlignment="1">
      <alignment horizontal="center" vertical="center"/>
    </xf>
    <xf numFmtId="0" fontId="36" fillId="8" borderId="1" xfId="4" applyFont="1" applyFill="1" applyBorder="1" applyAlignment="1">
      <alignment horizontal="center" vertical="center" wrapText="1"/>
    </xf>
    <xf numFmtId="0" fontId="29" fillId="0" borderId="0" xfId="4" applyFont="1"/>
    <xf numFmtId="0" fontId="29" fillId="0" borderId="2" xfId="4" applyFont="1" applyBorder="1" applyAlignment="1">
      <alignment horizontal="left"/>
    </xf>
    <xf numFmtId="0" fontId="29" fillId="0" borderId="4" xfId="4" applyFont="1" applyBorder="1" applyAlignment="1">
      <alignment horizontal="left"/>
    </xf>
    <xf numFmtId="2" fontId="29" fillId="0" borderId="1" xfId="4" applyNumberFormat="1" applyFont="1" applyBorder="1"/>
    <xf numFmtId="0" fontId="29" fillId="0" borderId="2" xfId="26" applyFont="1" applyBorder="1" applyAlignment="1">
      <alignment horizontal="left"/>
    </xf>
    <xf numFmtId="0" fontId="29" fillId="0" borderId="4" xfId="26" applyFont="1" applyBorder="1" applyAlignment="1">
      <alignment horizontal="left"/>
    </xf>
    <xf numFmtId="0" fontId="29" fillId="0" borderId="2" xfId="26" applyFont="1" applyBorder="1" applyAlignment="1">
      <alignment horizontal="left"/>
    </xf>
    <xf numFmtId="0" fontId="29" fillId="0" borderId="4" xfId="26" applyFont="1" applyBorder="1" applyAlignment="1">
      <alignment horizontal="left"/>
    </xf>
    <xf numFmtId="0" fontId="36" fillId="8" borderId="1" xfId="4" applyFont="1" applyFill="1" applyBorder="1" applyAlignment="1">
      <alignment horizontal="center" vertical="center"/>
    </xf>
    <xf numFmtId="0" fontId="29" fillId="0" borderId="1" xfId="4" applyFont="1" applyBorder="1" applyAlignment="1">
      <alignment horizontal="left" wrapText="1"/>
    </xf>
    <xf numFmtId="0" fontId="29" fillId="0" borderId="1" xfId="4" applyFont="1" applyBorder="1" applyAlignment="1">
      <alignment horizontal="left" vertical="top" wrapText="1"/>
    </xf>
    <xf numFmtId="0" fontId="30" fillId="0" borderId="1" xfId="0" applyFont="1" applyBorder="1" applyAlignment="1">
      <alignment horizontal="left"/>
    </xf>
    <xf numFmtId="0" fontId="37" fillId="0" borderId="0" xfId="4" applyFont="1"/>
    <xf numFmtId="0" fontId="38" fillId="8" borderId="8" xfId="0" applyFont="1" applyFill="1" applyBorder="1" applyAlignment="1">
      <alignment horizontal="center"/>
    </xf>
    <xf numFmtId="0" fontId="38" fillId="8" borderId="9" xfId="0" applyFont="1" applyFill="1" applyBorder="1" applyAlignment="1">
      <alignment horizontal="center"/>
    </xf>
    <xf numFmtId="0" fontId="38" fillId="8" borderId="10" xfId="0" applyFont="1" applyFill="1" applyBorder="1" applyAlignment="1">
      <alignment horizontal="center"/>
    </xf>
    <xf numFmtId="0" fontId="28" fillId="9" borderId="8" xfId="0" applyFont="1" applyFill="1" applyBorder="1" applyAlignment="1">
      <alignment horizontal="center"/>
    </xf>
    <xf numFmtId="0" fontId="28" fillId="9" borderId="9" xfId="0" applyFont="1" applyFill="1" applyBorder="1" applyAlignment="1">
      <alignment horizontal="center"/>
    </xf>
    <xf numFmtId="0" fontId="28" fillId="9" borderId="10" xfId="0" applyFont="1" applyFill="1" applyBorder="1" applyAlignment="1">
      <alignment horizontal="center"/>
    </xf>
    <xf numFmtId="0" fontId="32" fillId="6" borderId="28" xfId="4" applyFont="1" applyFill="1" applyBorder="1" applyAlignment="1">
      <alignment horizontal="center"/>
    </xf>
    <xf numFmtId="0" fontId="32" fillId="6" borderId="7" xfId="4" applyFont="1" applyFill="1" applyBorder="1" applyAlignment="1">
      <alignment horizontal="center"/>
    </xf>
    <xf numFmtId="0" fontId="32" fillId="6" borderId="16" xfId="4" applyFont="1" applyFill="1" applyBorder="1" applyAlignment="1">
      <alignment horizontal="center"/>
    </xf>
    <xf numFmtId="0" fontId="32" fillId="6" borderId="6" xfId="4" applyFont="1" applyFill="1" applyBorder="1" applyAlignment="1">
      <alignment horizontal="center"/>
    </xf>
    <xf numFmtId="0" fontId="32" fillId="6" borderId="21" xfId="4" applyFont="1" applyFill="1" applyBorder="1" applyAlignment="1">
      <alignment horizontal="center"/>
    </xf>
    <xf numFmtId="0" fontId="32" fillId="6" borderId="20" xfId="4" applyFont="1" applyFill="1" applyBorder="1" applyAlignment="1">
      <alignment horizontal="center"/>
    </xf>
    <xf numFmtId="0" fontId="32" fillId="6" borderId="1" xfId="4" applyFont="1" applyFill="1" applyBorder="1" applyAlignment="1">
      <alignment horizontal="center"/>
    </xf>
    <xf numFmtId="0" fontId="32" fillId="6" borderId="29" xfId="0" applyFont="1" applyFill="1" applyBorder="1" applyAlignment="1">
      <alignment horizontal="center"/>
    </xf>
    <xf numFmtId="4" fontId="31" fillId="0" borderId="20" xfId="0" applyNumberFormat="1" applyFont="1" applyBorder="1"/>
    <xf numFmtId="4" fontId="31" fillId="0" borderId="1" xfId="4" applyNumberFormat="1" applyFont="1" applyBorder="1"/>
    <xf numFmtId="0" fontId="31" fillId="0" borderId="1" xfId="4" applyFont="1" applyBorder="1" applyAlignment="1">
      <alignment horizontal="right"/>
    </xf>
    <xf numFmtId="0" fontId="31" fillId="0" borderId="1" xfId="4" applyFont="1" applyBorder="1" applyAlignment="1">
      <alignment horizontal="center"/>
    </xf>
    <xf numFmtId="49" fontId="31" fillId="0" borderId="1" xfId="4" applyNumberFormat="1" applyFont="1" applyBorder="1" applyAlignment="1">
      <alignment horizontal="center"/>
    </xf>
    <xf numFmtId="0" fontId="26" fillId="0" borderId="29" xfId="0" applyFont="1" applyBorder="1"/>
    <xf numFmtId="4" fontId="31" fillId="0" borderId="1" xfId="26" applyNumberFormat="1" applyFont="1" applyBorder="1"/>
    <xf numFmtId="0" fontId="26" fillId="0" borderId="23" xfId="0" applyFont="1" applyBorder="1" applyAlignment="1">
      <alignment horizontal="center"/>
    </xf>
    <xf numFmtId="0" fontId="26" fillId="0" borderId="27" xfId="0" applyFont="1" applyBorder="1" applyAlignment="1">
      <alignment horizontal="center"/>
    </xf>
    <xf numFmtId="0" fontId="26" fillId="0" borderId="26" xfId="0" applyFont="1" applyBorder="1" applyAlignment="1">
      <alignment horizontal="center"/>
    </xf>
    <xf numFmtId="4" fontId="31" fillId="0" borderId="30" xfId="0" applyNumberFormat="1" applyFont="1" applyBorder="1"/>
    <xf numFmtId="4" fontId="31" fillId="0" borderId="31" xfId="26" applyNumberFormat="1" applyFont="1" applyBorder="1"/>
    <xf numFmtId="0" fontId="31" fillId="0" borderId="31" xfId="4" applyFont="1" applyBorder="1" applyAlignment="1">
      <alignment horizontal="right"/>
    </xf>
    <xf numFmtId="0" fontId="31" fillId="0" borderId="31" xfId="4" applyFont="1" applyBorder="1" applyAlignment="1">
      <alignment horizontal="center"/>
    </xf>
    <xf numFmtId="4" fontId="31" fillId="0" borderId="31" xfId="4" applyNumberFormat="1" applyFont="1" applyBorder="1"/>
    <xf numFmtId="49" fontId="31" fillId="0" borderId="31" xfId="4" applyNumberFormat="1" applyFont="1" applyBorder="1" applyAlignment="1">
      <alignment horizontal="center"/>
    </xf>
    <xf numFmtId="0" fontId="26" fillId="0" borderId="32" xfId="0" applyFont="1" applyBorder="1"/>
    <xf numFmtId="0" fontId="31" fillId="0" borderId="0" xfId="0" applyFont="1" applyBorder="1"/>
    <xf numFmtId="0" fontId="31" fillId="0" borderId="0" xfId="26" applyFont="1" applyBorder="1"/>
    <xf numFmtId="0" fontId="31" fillId="0" borderId="0" xfId="4" applyFont="1" applyBorder="1" applyAlignment="1">
      <alignment horizontal="right"/>
    </xf>
    <xf numFmtId="0" fontId="31" fillId="0" borderId="0" xfId="4" applyFont="1" applyBorder="1" applyAlignment="1">
      <alignment horizontal="center"/>
    </xf>
    <xf numFmtId="0" fontId="31" fillId="0" borderId="0" xfId="4" applyFont="1" applyBorder="1"/>
    <xf numFmtId="49" fontId="31" fillId="0" borderId="0" xfId="4" applyNumberFormat="1" applyFont="1" applyBorder="1" applyAlignment="1">
      <alignment horizontal="center"/>
    </xf>
    <xf numFmtId="0" fontId="26" fillId="0" borderId="0" xfId="0" applyFont="1" applyBorder="1"/>
    <xf numFmtId="0" fontId="39" fillId="8" borderId="8" xfId="0" applyFont="1" applyFill="1" applyBorder="1" applyAlignment="1">
      <alignment horizontal="center"/>
    </xf>
    <xf numFmtId="0" fontId="39" fillId="8" borderId="9" xfId="0" applyFont="1" applyFill="1" applyBorder="1" applyAlignment="1">
      <alignment horizontal="center"/>
    </xf>
    <xf numFmtId="0" fontId="39" fillId="8" borderId="10" xfId="0" applyFont="1" applyFill="1" applyBorder="1" applyAlignment="1">
      <alignment horizontal="center"/>
    </xf>
    <xf numFmtId="0" fontId="28" fillId="9" borderId="12" xfId="0" applyFont="1" applyFill="1" applyBorder="1" applyAlignment="1">
      <alignment horizontal="center"/>
    </xf>
    <xf numFmtId="0" fontId="28" fillId="9" borderId="11" xfId="0" applyFont="1" applyFill="1" applyBorder="1" applyAlignment="1">
      <alignment horizontal="center"/>
    </xf>
    <xf numFmtId="0" fontId="28" fillId="9" borderId="13" xfId="0" applyFont="1" applyFill="1" applyBorder="1" applyAlignment="1">
      <alignment horizontal="center"/>
    </xf>
    <xf numFmtId="0" fontId="32" fillId="6" borderId="18" xfId="0" applyFont="1" applyFill="1" applyBorder="1" applyAlignment="1">
      <alignment horizontal="center"/>
    </xf>
    <xf numFmtId="0" fontId="32" fillId="6" borderId="4" xfId="0" applyFont="1" applyFill="1" applyBorder="1" applyAlignment="1">
      <alignment horizontal="center"/>
    </xf>
    <xf numFmtId="0" fontId="32" fillId="6" borderId="14" xfId="4" applyFont="1" applyFill="1" applyBorder="1" applyAlignment="1">
      <alignment horizontal="center"/>
    </xf>
    <xf numFmtId="0" fontId="32" fillId="6" borderId="15" xfId="4" applyFont="1" applyFill="1" applyBorder="1" applyAlignment="1">
      <alignment horizontal="center"/>
    </xf>
    <xf numFmtId="0" fontId="32" fillId="6" borderId="19" xfId="4" applyFont="1" applyFill="1" applyBorder="1" applyAlignment="1">
      <alignment horizontal="center"/>
    </xf>
    <xf numFmtId="0" fontId="32" fillId="6" borderId="20" xfId="0" applyFont="1" applyFill="1" applyBorder="1" applyAlignment="1">
      <alignment horizontal="center"/>
    </xf>
    <xf numFmtId="0" fontId="32" fillId="6" borderId="1" xfId="0" applyFont="1" applyFill="1" applyBorder="1" applyAlignment="1">
      <alignment horizontal="center"/>
    </xf>
    <xf numFmtId="0" fontId="32" fillId="6" borderId="17" xfId="4" applyFont="1" applyFill="1" applyBorder="1" applyAlignment="1">
      <alignment horizontal="center"/>
    </xf>
    <xf numFmtId="4" fontId="31" fillId="0" borderId="1" xfId="0" applyNumberFormat="1" applyFont="1" applyBorder="1"/>
    <xf numFmtId="4" fontId="31" fillId="0" borderId="2" xfId="0" applyNumberFormat="1" applyFont="1" applyBorder="1" applyAlignment="1">
      <alignment horizontal="center"/>
    </xf>
    <xf numFmtId="4" fontId="31" fillId="0" borderId="4" xfId="0" applyNumberFormat="1" applyFont="1" applyBorder="1" applyAlignment="1">
      <alignment horizontal="center"/>
    </xf>
    <xf numFmtId="4" fontId="31" fillId="0" borderId="22" xfId="0" applyNumberFormat="1" applyFont="1" applyBorder="1" applyAlignment="1">
      <alignment horizontal="center"/>
    </xf>
    <xf numFmtId="4" fontId="31" fillId="0" borderId="18" xfId="0" applyNumberFormat="1" applyFont="1" applyBorder="1" applyAlignment="1">
      <alignment horizontal="center"/>
    </xf>
    <xf numFmtId="0" fontId="32" fillId="6" borderId="20" xfId="0" applyFont="1" applyFill="1" applyBorder="1" applyAlignment="1">
      <alignment horizontal="center"/>
    </xf>
    <xf numFmtId="0" fontId="32" fillId="6" borderId="1" xfId="0" applyFont="1" applyFill="1" applyBorder="1" applyAlignment="1">
      <alignment horizontal="center"/>
    </xf>
    <xf numFmtId="4" fontId="31" fillId="0" borderId="23" xfId="0" applyNumberFormat="1" applyFont="1" applyBorder="1" applyAlignment="1">
      <alignment horizontal="center"/>
    </xf>
    <xf numFmtId="4" fontId="31" fillId="0" borderId="24" xfId="0" applyNumberFormat="1" applyFont="1" applyBorder="1" applyAlignment="1">
      <alignment horizontal="center"/>
    </xf>
    <xf numFmtId="4" fontId="31" fillId="0" borderId="25" xfId="0" applyNumberFormat="1" applyFont="1" applyBorder="1" applyAlignment="1">
      <alignment horizontal="center"/>
    </xf>
    <xf numFmtId="4" fontId="31" fillId="0" borderId="26" xfId="0" applyNumberFormat="1" applyFont="1" applyBorder="1" applyAlignment="1">
      <alignment horizontal="center"/>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739"/>
      <color rgb="FF006362"/>
      <color rgb="FF00DC00"/>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2</xdr:col>
      <xdr:colOff>539750</xdr:colOff>
      <xdr:row>0</xdr:row>
      <xdr:rowOff>541338</xdr:rowOff>
    </xdr:to>
    <xdr:pic>
      <xdr:nvPicPr>
        <xdr:cNvPr id="3" name="Picture 2">
          <a:extLst>
            <a:ext uri="{FF2B5EF4-FFF2-40B4-BE49-F238E27FC236}">
              <a16:creationId xmlns:a16="http://schemas.microsoft.com/office/drawing/2014/main" id="{978DA941-33AC-4947-91EE-014245480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95250"/>
          <a:ext cx="81915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2</xdr:col>
      <xdr:colOff>533400</xdr:colOff>
      <xdr:row>0</xdr:row>
      <xdr:rowOff>544513</xdr:rowOff>
    </xdr:to>
    <xdr:pic>
      <xdr:nvPicPr>
        <xdr:cNvPr id="3" name="Picture 2">
          <a:extLst>
            <a:ext uri="{FF2B5EF4-FFF2-40B4-BE49-F238E27FC236}">
              <a16:creationId xmlns:a16="http://schemas.microsoft.com/office/drawing/2014/main" id="{27AED56E-6473-449F-8503-CFD4DC0EF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0"/>
          <a:ext cx="81915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520700</xdr:colOff>
      <xdr:row>0</xdr:row>
      <xdr:rowOff>544513</xdr:rowOff>
    </xdr:to>
    <xdr:pic>
      <xdr:nvPicPr>
        <xdr:cNvPr id="3" name="Picture 2">
          <a:extLst>
            <a:ext uri="{FF2B5EF4-FFF2-40B4-BE49-F238E27FC236}">
              <a16:creationId xmlns:a16="http://schemas.microsoft.com/office/drawing/2014/main" id="{A1492636-B2AE-43CA-AB3E-84D49CE149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95250"/>
          <a:ext cx="81915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520700</xdr:colOff>
      <xdr:row>0</xdr:row>
      <xdr:rowOff>525463</xdr:rowOff>
    </xdr:to>
    <xdr:pic>
      <xdr:nvPicPr>
        <xdr:cNvPr id="3" name="Picture 2">
          <a:extLst>
            <a:ext uri="{FF2B5EF4-FFF2-40B4-BE49-F238E27FC236}">
              <a16:creationId xmlns:a16="http://schemas.microsoft.com/office/drawing/2014/main" id="{53D688D0-385D-4A9A-AF7D-B0990AECA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76200"/>
          <a:ext cx="81915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104775</xdr:rowOff>
    </xdr:from>
    <xdr:to>
      <xdr:col>2</xdr:col>
      <xdr:colOff>504825</xdr:colOff>
      <xdr:row>0</xdr:row>
      <xdr:rowOff>550863</xdr:rowOff>
    </xdr:to>
    <xdr:pic>
      <xdr:nvPicPr>
        <xdr:cNvPr id="3" name="Picture 2">
          <a:extLst>
            <a:ext uri="{FF2B5EF4-FFF2-40B4-BE49-F238E27FC236}">
              <a16:creationId xmlns:a16="http://schemas.microsoft.com/office/drawing/2014/main" id="{4F97A701-AE1F-4717-B310-67D25F43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0477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104775</xdr:rowOff>
    </xdr:from>
    <xdr:to>
      <xdr:col>2</xdr:col>
      <xdr:colOff>495300</xdr:colOff>
      <xdr:row>0</xdr:row>
      <xdr:rowOff>550863</xdr:rowOff>
    </xdr:to>
    <xdr:pic>
      <xdr:nvPicPr>
        <xdr:cNvPr id="3" name="Picture 2">
          <a:extLst>
            <a:ext uri="{FF2B5EF4-FFF2-40B4-BE49-F238E27FC236}">
              <a16:creationId xmlns:a16="http://schemas.microsoft.com/office/drawing/2014/main" id="{7D17239D-3C7C-48B8-BAC1-779AF78D1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4775"/>
          <a:ext cx="819150" cy="4460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0</xdr:row>
      <xdr:rowOff>95250</xdr:rowOff>
    </xdr:from>
    <xdr:to>
      <xdr:col>2</xdr:col>
      <xdr:colOff>847725</xdr:colOff>
      <xdr:row>3</xdr:row>
      <xdr:rowOff>173038</xdr:rowOff>
    </xdr:to>
    <xdr:pic>
      <xdr:nvPicPr>
        <xdr:cNvPr id="3" name="Picture 2">
          <a:extLst>
            <a:ext uri="{FF2B5EF4-FFF2-40B4-BE49-F238E27FC236}">
              <a16:creationId xmlns:a16="http://schemas.microsoft.com/office/drawing/2014/main" id="{CE5BFE6E-6142-4112-A665-DB9B2C6F0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5250"/>
          <a:ext cx="819150" cy="4492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85725</xdr:colOff>
      <xdr:row>3</xdr:row>
      <xdr:rowOff>55563</xdr:rowOff>
    </xdr:to>
    <xdr:pic>
      <xdr:nvPicPr>
        <xdr:cNvPr id="3" name="Picture 2">
          <a:extLst>
            <a:ext uri="{FF2B5EF4-FFF2-40B4-BE49-F238E27FC236}">
              <a16:creationId xmlns:a16="http://schemas.microsoft.com/office/drawing/2014/main" id="{969AF432-C31B-47E8-8460-8DD7038F2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95250"/>
          <a:ext cx="819150" cy="4460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6"/>
  <sheetViews>
    <sheetView showGridLines="0" showRowColHeaders="0" tabSelected="1" showWhiteSpace="0" zoomScaleNormal="100" workbookViewId="0">
      <selection activeCell="D6" sqref="D6"/>
    </sheetView>
  </sheetViews>
  <sheetFormatPr defaultColWidth="0" defaultRowHeight="11.5" zeroHeight="1" x14ac:dyDescent="0.25"/>
  <cols>
    <col min="1" max="1" width="2" style="1" customWidth="1"/>
    <col min="2" max="2" width="5.36328125" style="5" customWidth="1"/>
    <col min="3" max="3" width="57.1796875" style="1" customWidth="1"/>
    <col min="4" max="4" width="18.54296875" style="6" customWidth="1"/>
    <col min="5" max="5" width="2.6328125" style="1" customWidth="1"/>
    <col min="6" max="6" width="82" style="2" customWidth="1"/>
    <col min="7" max="16384" width="9.08984375" style="1" hidden="1"/>
  </cols>
  <sheetData>
    <row r="1" spans="2:6" ht="47" customHeight="1" x14ac:dyDescent="0.25">
      <c r="C1" s="7"/>
    </row>
    <row r="2" spans="2:6" ht="30" customHeight="1" x14ac:dyDescent="0.2">
      <c r="B2" s="27" t="s">
        <v>156</v>
      </c>
      <c r="C2" s="28"/>
      <c r="D2" s="29"/>
    </row>
    <row r="3" spans="2:6" x14ac:dyDescent="0.25">
      <c r="B3" s="3"/>
      <c r="C3" s="4"/>
      <c r="D3" s="4"/>
    </row>
    <row r="4" spans="2:6" ht="15" customHeight="1" x14ac:dyDescent="0.3">
      <c r="B4" s="3"/>
      <c r="C4" s="30" t="s">
        <v>167</v>
      </c>
      <c r="D4" s="30"/>
      <c r="F4" s="37" t="s">
        <v>168</v>
      </c>
    </row>
    <row r="5" spans="2:6" ht="15" customHeight="1" x14ac:dyDescent="0.35">
      <c r="B5" s="3"/>
      <c r="C5" s="9"/>
      <c r="D5" s="10"/>
      <c r="F5" s="37"/>
    </row>
    <row r="6" spans="2:6" ht="30.65" customHeight="1" x14ac:dyDescent="0.25">
      <c r="B6" s="53"/>
      <c r="C6" s="43" t="s">
        <v>150</v>
      </c>
      <c r="D6" s="44" t="s">
        <v>15</v>
      </c>
      <c r="F6" s="31" t="s">
        <v>149</v>
      </c>
    </row>
    <row r="7" spans="2:6" ht="15" customHeight="1" x14ac:dyDescent="0.25">
      <c r="B7" s="53"/>
      <c r="C7" s="45" t="s">
        <v>104</v>
      </c>
      <c r="D7" s="44" t="s">
        <v>163</v>
      </c>
      <c r="F7" s="37"/>
    </row>
    <row r="8" spans="2:6" ht="15" customHeight="1" x14ac:dyDescent="0.25">
      <c r="B8" s="53"/>
      <c r="C8" s="45" t="s">
        <v>105</v>
      </c>
      <c r="D8" s="54" t="s">
        <v>106</v>
      </c>
      <c r="F8" s="31" t="s">
        <v>107</v>
      </c>
    </row>
    <row r="9" spans="2:6" ht="15" customHeight="1" x14ac:dyDescent="0.25">
      <c r="B9" s="55"/>
      <c r="C9" s="46" t="s">
        <v>143</v>
      </c>
      <c r="D9" s="47">
        <v>1500000</v>
      </c>
      <c r="F9" s="32"/>
    </row>
    <row r="10" spans="2:6" ht="15" customHeight="1" x14ac:dyDescent="0.25">
      <c r="B10" s="55"/>
      <c r="C10" s="46" t="s">
        <v>16</v>
      </c>
      <c r="D10" s="47"/>
      <c r="F10" s="33"/>
    </row>
    <row r="11" spans="2:6" ht="15" customHeight="1" x14ac:dyDescent="0.25">
      <c r="B11" s="55"/>
      <c r="C11" s="46" t="s">
        <v>17</v>
      </c>
      <c r="D11" s="47"/>
      <c r="F11" s="32"/>
    </row>
    <row r="12" spans="2:6" ht="15" customHeight="1" x14ac:dyDescent="0.25">
      <c r="B12" s="55"/>
      <c r="C12" s="46" t="s">
        <v>79</v>
      </c>
      <c r="D12" s="47"/>
      <c r="F12" s="32" t="s">
        <v>83</v>
      </c>
    </row>
    <row r="13" spans="2:6" ht="15" customHeight="1" x14ac:dyDescent="0.25">
      <c r="B13" s="55"/>
      <c r="C13" s="46" t="s">
        <v>0</v>
      </c>
      <c r="D13" s="47"/>
      <c r="F13" s="32" t="s">
        <v>97</v>
      </c>
    </row>
    <row r="14" spans="2:6" ht="15" customHeight="1" x14ac:dyDescent="0.25">
      <c r="B14" s="55"/>
      <c r="C14" s="46" t="s">
        <v>18</v>
      </c>
      <c r="D14" s="47">
        <v>150000</v>
      </c>
      <c r="F14" s="32" t="s">
        <v>84</v>
      </c>
    </row>
    <row r="15" spans="2:6" ht="15" customHeight="1" x14ac:dyDescent="0.25">
      <c r="B15" s="55"/>
      <c r="C15" s="46" t="s">
        <v>101</v>
      </c>
      <c r="D15" s="47"/>
      <c r="F15" s="32"/>
    </row>
    <row r="16" spans="2:6" ht="15" customHeight="1" x14ac:dyDescent="0.25">
      <c r="B16" s="55"/>
      <c r="C16" s="55"/>
      <c r="D16" s="56"/>
      <c r="F16" s="36"/>
    </row>
    <row r="17" spans="2:6" ht="15" customHeight="1" thickBot="1" x14ac:dyDescent="0.3">
      <c r="B17" s="48" t="s">
        <v>1</v>
      </c>
      <c r="C17" s="48" t="s">
        <v>98</v>
      </c>
      <c r="D17" s="49">
        <f>D28</f>
        <v>19800</v>
      </c>
      <c r="F17" s="38"/>
    </row>
    <row r="18" spans="2:6" ht="15" customHeight="1" thickTop="1" x14ac:dyDescent="0.25">
      <c r="B18" s="55"/>
      <c r="C18" s="55"/>
      <c r="D18" s="56"/>
      <c r="F18" s="39"/>
    </row>
    <row r="19" spans="2:6" ht="15" customHeight="1" x14ac:dyDescent="0.25">
      <c r="B19" s="75"/>
      <c r="C19" s="50" t="s">
        <v>19</v>
      </c>
      <c r="D19" s="76"/>
      <c r="F19" s="38"/>
    </row>
    <row r="20" spans="2:6" ht="15" customHeight="1" x14ac:dyDescent="0.25">
      <c r="B20" s="77"/>
      <c r="C20" s="60" t="s">
        <v>146</v>
      </c>
      <c r="D20" s="61">
        <f>D9/D7*360</f>
        <v>2160000</v>
      </c>
      <c r="F20" s="36" t="s">
        <v>147</v>
      </c>
    </row>
    <row r="21" spans="2:6" ht="12.5" x14ac:dyDescent="0.25">
      <c r="B21" s="48"/>
      <c r="C21" s="46" t="s">
        <v>109</v>
      </c>
      <c r="D21" s="62">
        <f>IF(AND(D20&lt;300000,D20&gt;0),D10+D11+D12-D13+D14,D9+D10+D11+D12-D13+D14)</f>
        <v>1650000</v>
      </c>
      <c r="F21" s="1"/>
    </row>
    <row r="22" spans="2:6" ht="12.5" x14ac:dyDescent="0.25">
      <c r="B22" s="48" t="s">
        <v>5</v>
      </c>
      <c r="C22" s="78" t="s">
        <v>6</v>
      </c>
      <c r="D22" s="74">
        <v>0.8</v>
      </c>
      <c r="F22" s="1"/>
    </row>
    <row r="23" spans="2:6" ht="12.5" hidden="1" x14ac:dyDescent="0.25">
      <c r="B23" s="48"/>
      <c r="C23" s="79" t="s">
        <v>133</v>
      </c>
      <c r="D23" s="80">
        <f>ROUND(D21*80/100,0)</f>
        <v>1320000</v>
      </c>
      <c r="F23" s="1"/>
    </row>
    <row r="24" spans="2:6" ht="12.5" x14ac:dyDescent="0.25">
      <c r="B24" s="48" t="s">
        <v>1</v>
      </c>
      <c r="C24" s="46" t="s">
        <v>134</v>
      </c>
      <c r="D24" s="62">
        <f>D21*D22</f>
        <v>1320000</v>
      </c>
      <c r="F24" s="1"/>
    </row>
    <row r="25" spans="2:6" ht="12.5" x14ac:dyDescent="0.25">
      <c r="B25" s="48" t="s">
        <v>20</v>
      </c>
      <c r="C25" s="46" t="s">
        <v>6</v>
      </c>
      <c r="D25" s="74">
        <v>1.4999999999999999E-2</v>
      </c>
      <c r="F25" s="1"/>
    </row>
    <row r="26" spans="2:6" ht="12.5" x14ac:dyDescent="0.25">
      <c r="B26" s="48" t="s">
        <v>1</v>
      </c>
      <c r="C26" s="67" t="s">
        <v>102</v>
      </c>
      <c r="D26" s="61">
        <f>ROUND(D24*D25,0)</f>
        <v>19800</v>
      </c>
      <c r="F26" s="1"/>
    </row>
    <row r="27" spans="2:6" ht="12.5" x14ac:dyDescent="0.25">
      <c r="B27" s="48" t="s">
        <v>4</v>
      </c>
      <c r="C27" s="67" t="s">
        <v>99</v>
      </c>
      <c r="D27" s="61">
        <f>D15</f>
        <v>0</v>
      </c>
      <c r="F27" s="1"/>
    </row>
    <row r="28" spans="2:6" ht="12.5" x14ac:dyDescent="0.25">
      <c r="B28" s="48" t="s">
        <v>1</v>
      </c>
      <c r="C28" s="70" t="s">
        <v>98</v>
      </c>
      <c r="D28" s="81">
        <f>IF(D6="Y",0,D26-D27)</f>
        <v>19800</v>
      </c>
      <c r="F28" s="1"/>
    </row>
    <row r="29" spans="2:6" x14ac:dyDescent="0.25"/>
    <row r="30" spans="2:6" x14ac:dyDescent="0.25">
      <c r="B30" s="40" t="s">
        <v>8</v>
      </c>
      <c r="C30" s="38"/>
      <c r="D30" s="41"/>
      <c r="E30" s="38"/>
      <c r="F30" s="36"/>
    </row>
    <row r="31" spans="2:6" ht="22.25" customHeight="1" x14ac:dyDescent="0.2">
      <c r="B31" s="42" t="s">
        <v>9</v>
      </c>
      <c r="C31" s="42"/>
      <c r="D31" s="42"/>
      <c r="E31" s="42"/>
      <c r="F31" s="42"/>
    </row>
    <row r="32" spans="2:6" x14ac:dyDescent="0.25">
      <c r="B32" s="40" t="s">
        <v>10</v>
      </c>
      <c r="C32" s="38"/>
      <c r="D32" s="41"/>
      <c r="E32" s="38"/>
      <c r="F32" s="36"/>
    </row>
    <row r="33" spans="2:6" x14ac:dyDescent="0.25">
      <c r="B33" s="40" t="s">
        <v>155</v>
      </c>
      <c r="C33" s="38"/>
      <c r="D33" s="41"/>
      <c r="E33" s="38"/>
      <c r="F33" s="36"/>
    </row>
    <row r="34" spans="2:6" x14ac:dyDescent="0.25">
      <c r="B34" s="40" t="s">
        <v>11</v>
      </c>
      <c r="C34" s="38"/>
      <c r="D34" s="41"/>
      <c r="E34" s="38"/>
      <c r="F34" s="36"/>
    </row>
    <row r="35" spans="2:6" x14ac:dyDescent="0.25"/>
    <row r="36" spans="2:6" x14ac:dyDescent="0.25"/>
  </sheetData>
  <sheetProtection algorithmName="SHA-512" hashValue="UmPT9o2cPhL1ubZKXLF4iY4VYgM6urvGe0stwwqO5yziY8SwlKw4cSXajrR3RBJNF7fPDbgn8l6QCGJScliwkQ==" saltValue="BNpOwaHtdDNuzyLv1DXLcw==" spinCount="100000" sheet="1" objects="1" selectLockedCells="1"/>
  <mergeCells count="3">
    <mergeCell ref="B2:D2"/>
    <mergeCell ref="B31:F31"/>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9009D2-F908-4FA5-9E97-15091211FF7F}">
          <x14:formula1>
            <xm:f>List!$A$1:$A$2</xm:f>
          </x14:formula1>
          <xm:sqref>D6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A4" sqref="A4"/>
    </sheetView>
  </sheetViews>
  <sheetFormatPr defaultRowHeight="12.5" x14ac:dyDescent="0.25"/>
  <sheetData>
    <row r="1" spans="1:2" x14ac:dyDescent="0.25">
      <c r="A1" t="s">
        <v>14</v>
      </c>
      <c r="B1" s="8">
        <v>20</v>
      </c>
    </row>
    <row r="2" spans="1:2" x14ac:dyDescent="0.25">
      <c r="A2" t="s">
        <v>15</v>
      </c>
      <c r="B2" s="8">
        <v>80</v>
      </c>
    </row>
    <row r="3" spans="1:2" x14ac:dyDescent="0.25">
      <c r="B3" s="8">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dimension ref="A1:F74"/>
  <sheetViews>
    <sheetView showWhiteSpace="0" zoomScaleNormal="100" workbookViewId="0">
      <selection activeCell="D6" sqref="D6"/>
    </sheetView>
  </sheetViews>
  <sheetFormatPr defaultColWidth="0" defaultRowHeight="11.5" x14ac:dyDescent="0.25"/>
  <cols>
    <col min="1" max="1" width="2.36328125" style="1" customWidth="1"/>
    <col min="2" max="2" width="5.36328125" style="5" customWidth="1"/>
    <col min="3" max="3" width="73.1796875" style="1" customWidth="1"/>
    <col min="4" max="4" width="21.54296875" style="6" customWidth="1"/>
    <col min="5" max="5" width="2.6328125" style="1" customWidth="1"/>
    <col min="6" max="6" width="82.453125" style="2" customWidth="1"/>
    <col min="7" max="16384" width="9.08984375" style="1" hidden="1"/>
  </cols>
  <sheetData>
    <row r="1" spans="2:6" ht="47" customHeight="1" x14ac:dyDescent="0.25">
      <c r="C1" s="7"/>
    </row>
    <row r="2" spans="2:6" ht="30" customHeight="1" x14ac:dyDescent="0.2">
      <c r="B2" s="27" t="s">
        <v>157</v>
      </c>
      <c r="C2" s="28"/>
      <c r="D2" s="29"/>
    </row>
    <row r="3" spans="2:6" x14ac:dyDescent="0.25">
      <c r="B3" s="3"/>
      <c r="C3" s="4"/>
      <c r="D3" s="4"/>
    </row>
    <row r="4" spans="2:6" ht="15" customHeight="1" x14ac:dyDescent="0.3">
      <c r="B4" s="3"/>
      <c r="C4" s="30" t="s">
        <v>169</v>
      </c>
      <c r="D4" s="30"/>
      <c r="F4" s="37" t="s">
        <v>168</v>
      </c>
    </row>
    <row r="5" spans="2:6" ht="15" customHeight="1" x14ac:dyDescent="0.35">
      <c r="B5" s="3"/>
      <c r="C5" s="9"/>
      <c r="D5" s="10"/>
      <c r="F5" s="37"/>
    </row>
    <row r="6" spans="2:6" ht="15" customHeight="1" x14ac:dyDescent="0.25">
      <c r="B6" s="53"/>
      <c r="C6" s="45" t="s">
        <v>104</v>
      </c>
      <c r="D6" s="44" t="s">
        <v>163</v>
      </c>
      <c r="F6" s="37"/>
    </row>
    <row r="7" spans="2:6" ht="15" customHeight="1" x14ac:dyDescent="0.25">
      <c r="B7" s="53"/>
      <c r="C7" s="45" t="s">
        <v>105</v>
      </c>
      <c r="D7" s="54" t="s">
        <v>106</v>
      </c>
      <c r="F7" s="31" t="s">
        <v>107</v>
      </c>
    </row>
    <row r="8" spans="2:6" ht="15" customHeight="1" x14ac:dyDescent="0.25">
      <c r="B8" s="55"/>
      <c r="C8" s="46" t="s">
        <v>143</v>
      </c>
      <c r="D8" s="47">
        <v>1500000</v>
      </c>
      <c r="F8" s="33"/>
    </row>
    <row r="9" spans="2:6" ht="15" customHeight="1" x14ac:dyDescent="0.25">
      <c r="B9" s="55"/>
      <c r="C9" s="46" t="s">
        <v>16</v>
      </c>
      <c r="D9" s="47"/>
      <c r="F9" s="51"/>
    </row>
    <row r="10" spans="2:6" ht="15" customHeight="1" x14ac:dyDescent="0.25">
      <c r="B10" s="55"/>
      <c r="C10" s="46" t="s">
        <v>17</v>
      </c>
      <c r="D10" s="47"/>
      <c r="F10" s="32"/>
    </row>
    <row r="11" spans="2:6" ht="15" customHeight="1" x14ac:dyDescent="0.25">
      <c r="B11" s="55"/>
      <c r="C11" s="46" t="s">
        <v>79</v>
      </c>
      <c r="D11" s="47"/>
      <c r="F11" s="32" t="s">
        <v>83</v>
      </c>
    </row>
    <row r="12" spans="2:6" ht="15" customHeight="1" x14ac:dyDescent="0.25">
      <c r="B12" s="55"/>
      <c r="C12" s="46" t="s">
        <v>0</v>
      </c>
      <c r="D12" s="47"/>
      <c r="F12" s="32" t="s">
        <v>97</v>
      </c>
    </row>
    <row r="13" spans="2:6" ht="15" customHeight="1" x14ac:dyDescent="0.25">
      <c r="B13" s="55"/>
      <c r="C13" s="46" t="s">
        <v>18</v>
      </c>
      <c r="D13" s="47">
        <v>150000</v>
      </c>
      <c r="F13" s="32" t="s">
        <v>84</v>
      </c>
    </row>
    <row r="14" spans="2:6" ht="15" customHeight="1" x14ac:dyDescent="0.25">
      <c r="B14" s="55"/>
      <c r="C14" s="46" t="s">
        <v>115</v>
      </c>
      <c r="D14" s="47"/>
      <c r="F14" s="32"/>
    </row>
    <row r="15" spans="2:6" ht="15" customHeight="1" x14ac:dyDescent="0.25">
      <c r="B15" s="55"/>
      <c r="C15" s="46" t="s">
        <v>114</v>
      </c>
      <c r="D15" s="47"/>
      <c r="F15" s="32"/>
    </row>
    <row r="16" spans="2:6" ht="15" customHeight="1" x14ac:dyDescent="0.25">
      <c r="B16" s="55"/>
      <c r="C16" s="55"/>
      <c r="D16" s="56"/>
      <c r="F16" s="36"/>
    </row>
    <row r="17" spans="2:6" ht="15" customHeight="1" thickBot="1" x14ac:dyDescent="0.3">
      <c r="B17" s="48" t="s">
        <v>1</v>
      </c>
      <c r="C17" s="48" t="s">
        <v>103</v>
      </c>
      <c r="D17" s="49">
        <f>D38</f>
        <v>20000</v>
      </c>
      <c r="F17" s="36"/>
    </row>
    <row r="18" spans="2:6" ht="15" customHeight="1" thickTop="1" thickBot="1" x14ac:dyDescent="0.3">
      <c r="B18" s="48" t="s">
        <v>1</v>
      </c>
      <c r="C18" s="48" t="s">
        <v>116</v>
      </c>
      <c r="D18" s="49">
        <f>D49</f>
        <v>19800</v>
      </c>
      <c r="F18" s="38"/>
    </row>
    <row r="19" spans="2:6" ht="15" customHeight="1" thickTop="1" x14ac:dyDescent="0.25">
      <c r="B19" s="55"/>
      <c r="C19" s="55"/>
      <c r="D19" s="56"/>
      <c r="F19" s="39"/>
    </row>
    <row r="20" spans="2:6" ht="15" customHeight="1" x14ac:dyDescent="0.25">
      <c r="B20" s="55"/>
      <c r="C20" s="52" t="s">
        <v>22</v>
      </c>
      <c r="D20" s="56"/>
      <c r="F20" s="38"/>
    </row>
    <row r="21" spans="2:6" ht="15" customHeight="1" x14ac:dyDescent="0.25">
      <c r="B21" s="57"/>
      <c r="C21" s="58" t="s">
        <v>108</v>
      </c>
      <c r="D21" s="59"/>
      <c r="F21" s="38"/>
    </row>
    <row r="22" spans="2:6" ht="15" customHeight="1" x14ac:dyDescent="0.25">
      <c r="B22" s="57"/>
      <c r="C22" s="60" t="s">
        <v>146</v>
      </c>
      <c r="D22" s="61">
        <f>D8/D6*D7</f>
        <v>2160000</v>
      </c>
      <c r="F22" s="36" t="s">
        <v>147</v>
      </c>
    </row>
    <row r="23" spans="2:6" ht="12.5" x14ac:dyDescent="0.25">
      <c r="B23" s="48"/>
      <c r="C23" s="46" t="s">
        <v>110</v>
      </c>
      <c r="D23" s="62">
        <f>IF(AND(D22&lt;300000,D22&gt;0),D9+D10+D11-D12,D8+D9+D10+D11-D12)</f>
        <v>1500000</v>
      </c>
      <c r="F23" s="1"/>
    </row>
    <row r="24" spans="2:6" ht="12.5" x14ac:dyDescent="0.25">
      <c r="B24" s="48" t="s">
        <v>86</v>
      </c>
      <c r="C24" s="46" t="s">
        <v>104</v>
      </c>
      <c r="D24" s="63" t="str">
        <f>D6</f>
        <v>250</v>
      </c>
      <c r="F24" s="1"/>
    </row>
    <row r="25" spans="2:6" ht="12.5" x14ac:dyDescent="0.25">
      <c r="B25" s="48" t="s">
        <v>5</v>
      </c>
      <c r="C25" s="46" t="s">
        <v>105</v>
      </c>
      <c r="D25" s="63" t="str">
        <f>D7</f>
        <v>360</v>
      </c>
      <c r="F25" s="1"/>
    </row>
    <row r="26" spans="2:6" ht="12.5" x14ac:dyDescent="0.25">
      <c r="B26" s="48" t="s">
        <v>3</v>
      </c>
      <c r="C26" s="46" t="s">
        <v>111</v>
      </c>
      <c r="D26" s="64">
        <f>D13</f>
        <v>150000</v>
      </c>
      <c r="F26" s="1"/>
    </row>
    <row r="27" spans="2:6" ht="12.5" x14ac:dyDescent="0.25">
      <c r="B27" s="48" t="s">
        <v>1</v>
      </c>
      <c r="C27" s="46" t="s">
        <v>148</v>
      </c>
      <c r="D27" s="65">
        <f>ROUND(D23/D24*D25+D26,0)</f>
        <v>2310000</v>
      </c>
      <c r="F27" s="1"/>
    </row>
    <row r="28" spans="2:6" ht="12.5" x14ac:dyDescent="0.25">
      <c r="B28" s="48" t="s">
        <v>5</v>
      </c>
      <c r="C28" s="46" t="s">
        <v>6</v>
      </c>
      <c r="D28" s="66">
        <v>0.8</v>
      </c>
      <c r="F28" s="1"/>
    </row>
    <row r="29" spans="2:6" ht="12.5" x14ac:dyDescent="0.25">
      <c r="B29" s="48" t="s">
        <v>1</v>
      </c>
      <c r="C29" s="46" t="s">
        <v>118</v>
      </c>
      <c r="D29" s="64">
        <f>ROUND(D27*80/100,0)</f>
        <v>1848000</v>
      </c>
      <c r="F29" s="1"/>
    </row>
    <row r="30" spans="2:6" ht="12.5" x14ac:dyDescent="0.25">
      <c r="B30" s="48"/>
      <c r="C30" s="67" t="s">
        <v>23</v>
      </c>
      <c r="D30" s="68"/>
      <c r="F30" s="1"/>
    </row>
    <row r="31" spans="2:6" ht="12.5" x14ac:dyDescent="0.25">
      <c r="B31" s="48" t="s">
        <v>5</v>
      </c>
      <c r="C31" s="46" t="s">
        <v>6</v>
      </c>
      <c r="D31" s="69">
        <f>LOOKUP(D29,List!A6:A9,List!B6:B9)</f>
        <v>5</v>
      </c>
    </row>
    <row r="32" spans="2:6" ht="12.5" x14ac:dyDescent="0.25">
      <c r="B32" s="48" t="s">
        <v>4</v>
      </c>
      <c r="C32" s="46" t="s">
        <v>7</v>
      </c>
      <c r="D32" s="64">
        <f>LOOKUP(D29,List!A6:A9,List!C6:C9)</f>
        <v>63600</v>
      </c>
    </row>
    <row r="33" spans="2:6" ht="12.5" x14ac:dyDescent="0.25">
      <c r="B33" s="48" t="s">
        <v>1</v>
      </c>
      <c r="C33" s="46" t="s">
        <v>113</v>
      </c>
      <c r="D33" s="64">
        <f>ROUND((D29*D31/100)-D32,0)</f>
        <v>28800</v>
      </c>
    </row>
    <row r="34" spans="2:6" ht="12.5" x14ac:dyDescent="0.25">
      <c r="B34" s="48" t="s">
        <v>86</v>
      </c>
      <c r="C34" s="46" t="s">
        <v>105</v>
      </c>
      <c r="D34" s="64" t="str">
        <f>D25</f>
        <v>360</v>
      </c>
    </row>
    <row r="35" spans="2:6" ht="12.5" x14ac:dyDescent="0.25">
      <c r="B35" s="48" t="s">
        <v>5</v>
      </c>
      <c r="C35" s="46" t="s">
        <v>104</v>
      </c>
      <c r="D35" s="64" t="str">
        <f>D24</f>
        <v>250</v>
      </c>
    </row>
    <row r="36" spans="2:6" ht="12.5" x14ac:dyDescent="0.25">
      <c r="B36" s="48" t="s">
        <v>1</v>
      </c>
      <c r="C36" s="46" t="s">
        <v>135</v>
      </c>
      <c r="D36" s="62">
        <f>ROUND(D33/D34*D35,0)</f>
        <v>20000</v>
      </c>
    </row>
    <row r="37" spans="2:6" ht="12.5" x14ac:dyDescent="0.25">
      <c r="B37" s="48" t="s">
        <v>4</v>
      </c>
      <c r="C37" s="46" t="s">
        <v>115</v>
      </c>
      <c r="D37" s="62">
        <f>D14</f>
        <v>0</v>
      </c>
    </row>
    <row r="38" spans="2:6" ht="13" thickBot="1" x14ac:dyDescent="0.3">
      <c r="B38" s="48" t="s">
        <v>1</v>
      </c>
      <c r="C38" s="70" t="s">
        <v>25</v>
      </c>
      <c r="D38" s="71">
        <f>D36-D37</f>
        <v>20000</v>
      </c>
      <c r="F38" s="1"/>
    </row>
    <row r="39" spans="2:6" ht="13" thickTop="1" x14ac:dyDescent="0.25">
      <c r="B39" s="55"/>
      <c r="C39" s="72"/>
      <c r="D39" s="73"/>
      <c r="F39" s="1"/>
    </row>
    <row r="40" spans="2:6" ht="12.5" x14ac:dyDescent="0.25">
      <c r="B40" s="55"/>
      <c r="C40" s="52" t="s">
        <v>26</v>
      </c>
      <c r="D40" s="56"/>
      <c r="F40" s="1"/>
    </row>
    <row r="41" spans="2:6" ht="12.5" x14ac:dyDescent="0.25">
      <c r="B41" s="57"/>
      <c r="C41" s="58" t="s">
        <v>108</v>
      </c>
      <c r="D41" s="59"/>
      <c r="F41" s="1"/>
    </row>
    <row r="42" spans="2:6" ht="12.5" x14ac:dyDescent="0.25">
      <c r="B42" s="48"/>
      <c r="C42" s="46" t="s">
        <v>109</v>
      </c>
      <c r="D42" s="62">
        <f>IF(D22&lt;300000,D9+D10+D11-D12+D13,D8+D9+D10+D11-D12+D13)</f>
        <v>1650000</v>
      </c>
      <c r="F42" s="1"/>
    </row>
    <row r="43" spans="2:6" ht="12.5" x14ac:dyDescent="0.25">
      <c r="B43" s="48" t="s">
        <v>5</v>
      </c>
      <c r="C43" s="46" t="s">
        <v>6</v>
      </c>
      <c r="D43" s="74">
        <v>0.8</v>
      </c>
      <c r="F43" s="1"/>
    </row>
    <row r="44" spans="2:6" ht="12.5" x14ac:dyDescent="0.25">
      <c r="B44" s="48" t="s">
        <v>1</v>
      </c>
      <c r="C44" s="46" t="s">
        <v>82</v>
      </c>
      <c r="D44" s="62">
        <f>ROUND(D42*D43,0)</f>
        <v>1320000</v>
      </c>
      <c r="F44" s="1"/>
    </row>
    <row r="45" spans="2:6" ht="12.5" x14ac:dyDescent="0.25">
      <c r="B45" s="48"/>
      <c r="C45" s="67" t="s">
        <v>93</v>
      </c>
      <c r="D45" s="59"/>
      <c r="F45" s="1"/>
    </row>
    <row r="46" spans="2:6" ht="12.5" x14ac:dyDescent="0.25">
      <c r="B46" s="48" t="s">
        <v>5</v>
      </c>
      <c r="C46" s="46" t="s">
        <v>6</v>
      </c>
      <c r="D46" s="74">
        <v>1.4999999999999999E-2</v>
      </c>
      <c r="F46" s="1"/>
    </row>
    <row r="47" spans="2:6" ht="12.5" x14ac:dyDescent="0.25">
      <c r="B47" s="48" t="s">
        <v>1</v>
      </c>
      <c r="C47" s="46" t="s">
        <v>112</v>
      </c>
      <c r="D47" s="62">
        <f>ROUND(D44*D46,0)</f>
        <v>19800</v>
      </c>
      <c r="F47" s="1"/>
    </row>
    <row r="48" spans="2:6" ht="12.5" x14ac:dyDescent="0.25">
      <c r="B48" s="48" t="s">
        <v>4</v>
      </c>
      <c r="C48" s="46" t="s">
        <v>114</v>
      </c>
      <c r="D48" s="62">
        <f>D15</f>
        <v>0</v>
      </c>
      <c r="F48" s="1"/>
    </row>
    <row r="49" spans="2:6" ht="13" thickBot="1" x14ac:dyDescent="0.3">
      <c r="B49" s="48" t="s">
        <v>1</v>
      </c>
      <c r="C49" s="70" t="s">
        <v>24</v>
      </c>
      <c r="D49" s="71">
        <f>D47-D48</f>
        <v>19800</v>
      </c>
      <c r="F49" s="1"/>
    </row>
    <row r="50" spans="2:6" ht="12" thickTop="1" x14ac:dyDescent="0.25">
      <c r="F50" s="1"/>
    </row>
    <row r="52" spans="2:6" x14ac:dyDescent="0.25">
      <c r="B52" s="40" t="s">
        <v>8</v>
      </c>
      <c r="C52" s="38"/>
      <c r="D52" s="41"/>
      <c r="E52" s="38"/>
      <c r="F52" s="36"/>
    </row>
    <row r="53" spans="2:6" ht="22.25" customHeight="1" x14ac:dyDescent="0.2">
      <c r="B53" s="42" t="s">
        <v>9</v>
      </c>
      <c r="C53" s="42"/>
      <c r="D53" s="42"/>
      <c r="E53" s="42"/>
      <c r="F53" s="42"/>
    </row>
    <row r="54" spans="2:6" x14ac:dyDescent="0.25">
      <c r="B54" s="40" t="s">
        <v>10</v>
      </c>
      <c r="C54" s="38"/>
      <c r="D54" s="41"/>
      <c r="E54" s="38"/>
      <c r="F54" s="36"/>
    </row>
    <row r="55" spans="2:6" x14ac:dyDescent="0.25">
      <c r="B55" s="40" t="s">
        <v>155</v>
      </c>
      <c r="C55" s="38"/>
      <c r="D55" s="41"/>
      <c r="E55" s="38"/>
      <c r="F55" s="36"/>
    </row>
    <row r="56" spans="2:6" x14ac:dyDescent="0.25">
      <c r="B56" s="40" t="s">
        <v>11</v>
      </c>
      <c r="C56" s="38"/>
      <c r="D56" s="41"/>
      <c r="E56" s="38"/>
      <c r="F56" s="36"/>
    </row>
    <row r="69" spans="3:6" s="5" customFormat="1" x14ac:dyDescent="0.25">
      <c r="C69" s="1"/>
      <c r="D69" s="6"/>
      <c r="E69" s="1"/>
      <c r="F69" s="2"/>
    </row>
    <row r="70" spans="3:6" s="5" customFormat="1" x14ac:dyDescent="0.25">
      <c r="C70" s="1"/>
      <c r="D70" s="6"/>
      <c r="E70" s="1"/>
      <c r="F70" s="2"/>
    </row>
    <row r="71" spans="3:6" s="5" customFormat="1" x14ac:dyDescent="0.25">
      <c r="C71" s="1"/>
      <c r="D71" s="6"/>
      <c r="E71" s="1"/>
      <c r="F71" s="2"/>
    </row>
    <row r="72" spans="3:6" s="5" customFormat="1" x14ac:dyDescent="0.25">
      <c r="C72" s="1"/>
      <c r="D72" s="6"/>
      <c r="E72" s="1"/>
      <c r="F72" s="2"/>
    </row>
    <row r="73" spans="3:6" s="5" customFormat="1" x14ac:dyDescent="0.25">
      <c r="C73" s="1"/>
      <c r="D73" s="6"/>
      <c r="E73" s="1"/>
      <c r="F73" s="2"/>
    </row>
    <row r="74" spans="3:6" s="5" customFormat="1" x14ac:dyDescent="0.25">
      <c r="C74" s="1"/>
      <c r="D74" s="6"/>
      <c r="E74" s="1"/>
      <c r="F74" s="2"/>
    </row>
  </sheetData>
  <sheetProtection algorithmName="SHA-512" hashValue="7bDzixBMxoRkikC+5GFPHlh3+IEcbKCC3EzlSxm5OoyTFGgTsZjtSvWBNHcwkpoiaIzStdN3Qg+uZISkAYOl0w==" saltValue="OJZrItsk+WGq19I3nlOdjQ==" spinCount="100000" sheet="1" objects="1" selectLockedCells="1"/>
  <mergeCells count="3">
    <mergeCell ref="B2:D2"/>
    <mergeCell ref="B53:F53"/>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FF3E-9AE2-465F-B69E-53C7F210DB24}">
  <dimension ref="B1:F75"/>
  <sheetViews>
    <sheetView showGridLines="0" showRowColHeaders="0" showWhiteSpace="0" zoomScaleNormal="100" workbookViewId="0">
      <selection activeCell="D6" sqref="D6"/>
    </sheetView>
  </sheetViews>
  <sheetFormatPr defaultColWidth="0" defaultRowHeight="11.5" zeroHeight="1" x14ac:dyDescent="0.25"/>
  <cols>
    <col min="1" max="1" width="3.1796875" style="1" customWidth="1"/>
    <col min="2" max="2" width="5.36328125" style="5" customWidth="1"/>
    <col min="3" max="3" width="65.6328125" style="1" customWidth="1"/>
    <col min="4" max="4" width="18.54296875" style="6" customWidth="1"/>
    <col min="5" max="5" width="2.6328125" style="1" customWidth="1"/>
    <col min="6" max="6" width="91.26953125" style="2" customWidth="1"/>
    <col min="7" max="7" width="0" style="1" hidden="1" customWidth="1"/>
    <col min="8" max="16384" width="0" style="1" hidden="1"/>
  </cols>
  <sheetData>
    <row r="1" spans="2:6" ht="47" customHeight="1" x14ac:dyDescent="0.25">
      <c r="C1" s="7"/>
    </row>
    <row r="2" spans="2:6" ht="30" customHeight="1" x14ac:dyDescent="0.2">
      <c r="B2" s="27" t="s">
        <v>159</v>
      </c>
      <c r="C2" s="28"/>
      <c r="D2" s="29"/>
    </row>
    <row r="3" spans="2:6" x14ac:dyDescent="0.25">
      <c r="B3" s="3"/>
      <c r="C3" s="4"/>
      <c r="D3" s="4"/>
    </row>
    <row r="4" spans="2:6" ht="15" customHeight="1" x14ac:dyDescent="0.3">
      <c r="B4" s="3"/>
      <c r="C4" s="30" t="s">
        <v>167</v>
      </c>
      <c r="D4" s="30"/>
      <c r="F4" s="37" t="s">
        <v>168</v>
      </c>
    </row>
    <row r="5" spans="2:6" ht="15" customHeight="1" x14ac:dyDescent="0.35">
      <c r="B5" s="3"/>
      <c r="C5" s="9"/>
      <c r="D5" s="10"/>
      <c r="F5" s="37"/>
    </row>
    <row r="6" spans="2:6" ht="15" customHeight="1" x14ac:dyDescent="0.25">
      <c r="B6" s="53"/>
      <c r="C6" s="45" t="s">
        <v>119</v>
      </c>
      <c r="D6" s="84">
        <v>1.5</v>
      </c>
      <c r="F6" s="31" t="s">
        <v>171</v>
      </c>
    </row>
    <row r="7" spans="2:6" ht="15" customHeight="1" x14ac:dyDescent="0.25">
      <c r="B7" s="53"/>
      <c r="C7" s="45" t="s">
        <v>104</v>
      </c>
      <c r="D7" s="44" t="s">
        <v>163</v>
      </c>
      <c r="F7" s="37"/>
    </row>
    <row r="8" spans="2:6" ht="15" customHeight="1" x14ac:dyDescent="0.25">
      <c r="B8" s="53"/>
      <c r="C8" s="45" t="s">
        <v>105</v>
      </c>
      <c r="D8" s="54" t="s">
        <v>106</v>
      </c>
      <c r="F8" s="31" t="s">
        <v>107</v>
      </c>
    </row>
    <row r="9" spans="2:6" ht="27.65" customHeight="1" x14ac:dyDescent="0.25">
      <c r="B9" s="53"/>
      <c r="C9" s="45" t="s">
        <v>144</v>
      </c>
      <c r="D9" s="85">
        <f>ROUND(D31*1.5%,0)</f>
        <v>27720</v>
      </c>
      <c r="F9" s="31" t="s">
        <v>136</v>
      </c>
    </row>
    <row r="10" spans="2:6" ht="15" customHeight="1" x14ac:dyDescent="0.25">
      <c r="B10" s="53"/>
      <c r="C10" s="45" t="s">
        <v>145</v>
      </c>
      <c r="D10" s="44" t="s">
        <v>164</v>
      </c>
      <c r="F10" s="31" t="s">
        <v>170</v>
      </c>
    </row>
    <row r="11" spans="2:6" ht="15" customHeight="1" x14ac:dyDescent="0.25">
      <c r="B11" s="55"/>
      <c r="C11" s="46" t="s">
        <v>143</v>
      </c>
      <c r="D11" s="82">
        <v>1500000</v>
      </c>
      <c r="F11" s="33"/>
    </row>
    <row r="12" spans="2:6" ht="15" customHeight="1" x14ac:dyDescent="0.25">
      <c r="B12" s="55"/>
      <c r="C12" s="46" t="s">
        <v>16</v>
      </c>
      <c r="D12" s="82"/>
      <c r="F12" s="51"/>
    </row>
    <row r="13" spans="2:6" ht="15" customHeight="1" x14ac:dyDescent="0.25">
      <c r="B13" s="55"/>
      <c r="C13" s="46" t="s">
        <v>17</v>
      </c>
      <c r="D13" s="82"/>
      <c r="F13" s="32"/>
    </row>
    <row r="14" spans="2:6" ht="15" customHeight="1" x14ac:dyDescent="0.25">
      <c r="B14" s="55"/>
      <c r="C14" s="46" t="s">
        <v>79</v>
      </c>
      <c r="D14" s="82"/>
      <c r="F14" s="32" t="s">
        <v>83</v>
      </c>
    </row>
    <row r="15" spans="2:6" ht="15" customHeight="1" x14ac:dyDescent="0.25">
      <c r="B15" s="55"/>
      <c r="C15" s="46" t="s">
        <v>0</v>
      </c>
      <c r="D15" s="82"/>
      <c r="F15" s="32" t="s">
        <v>97</v>
      </c>
    </row>
    <row r="16" spans="2:6" ht="15" customHeight="1" x14ac:dyDescent="0.25">
      <c r="B16" s="55"/>
      <c r="C16" s="46" t="s">
        <v>18</v>
      </c>
      <c r="D16" s="82">
        <v>150000</v>
      </c>
      <c r="F16" s="32" t="s">
        <v>84</v>
      </c>
    </row>
    <row r="17" spans="2:6" ht="15" customHeight="1" x14ac:dyDescent="0.25">
      <c r="B17" s="55"/>
      <c r="C17" s="46" t="s">
        <v>120</v>
      </c>
      <c r="D17" s="82"/>
      <c r="F17" s="32"/>
    </row>
    <row r="18" spans="2:6" ht="15" customHeight="1" x14ac:dyDescent="0.25">
      <c r="B18" s="55"/>
      <c r="C18" s="55"/>
      <c r="D18" s="56"/>
      <c r="F18" s="36"/>
    </row>
    <row r="19" spans="2:6" ht="15" customHeight="1" thickBot="1" x14ac:dyDescent="0.3">
      <c r="B19" s="48" t="s">
        <v>1</v>
      </c>
      <c r="C19" s="48" t="s">
        <v>28</v>
      </c>
      <c r="D19" s="49">
        <f>D50</f>
        <v>88354</v>
      </c>
      <c r="F19" s="38"/>
    </row>
    <row r="20" spans="2:6" ht="15" customHeight="1" thickTop="1" x14ac:dyDescent="0.25">
      <c r="B20" s="55"/>
      <c r="C20" s="55"/>
      <c r="D20" s="56"/>
      <c r="F20" s="39"/>
    </row>
    <row r="21" spans="2:6" ht="15" customHeight="1" x14ac:dyDescent="0.25">
      <c r="B21" s="55"/>
      <c r="C21" s="52" t="s">
        <v>27</v>
      </c>
      <c r="D21" s="56"/>
      <c r="F21" s="38"/>
    </row>
    <row r="22" spans="2:6" ht="15" customHeight="1" x14ac:dyDescent="0.25">
      <c r="B22" s="57"/>
      <c r="C22" s="58" t="s">
        <v>121</v>
      </c>
      <c r="D22" s="59"/>
      <c r="F22" s="38"/>
    </row>
    <row r="23" spans="2:6" ht="15" customHeight="1" x14ac:dyDescent="0.25">
      <c r="B23" s="57"/>
      <c r="C23" s="60" t="s">
        <v>146</v>
      </c>
      <c r="D23" s="61">
        <f>D11/D7*D8</f>
        <v>2160000</v>
      </c>
      <c r="F23" s="36" t="s">
        <v>147</v>
      </c>
    </row>
    <row r="24" spans="2:6" ht="12.5" x14ac:dyDescent="0.25">
      <c r="B24" s="48"/>
      <c r="C24" s="46" t="s">
        <v>122</v>
      </c>
      <c r="D24" s="62">
        <f>IF(AND(D23&lt;300000,D23&gt;0),D12+D13+D14-D15,D11+D12+D13+D14-D15)</f>
        <v>1500000</v>
      </c>
      <c r="F24" s="1"/>
    </row>
    <row r="25" spans="2:6" ht="12.5" x14ac:dyDescent="0.25">
      <c r="B25" s="86" t="s">
        <v>86</v>
      </c>
      <c r="C25" s="87" t="s">
        <v>104</v>
      </c>
      <c r="D25" s="64" t="str">
        <f>D7</f>
        <v>250</v>
      </c>
      <c r="F25" s="1"/>
    </row>
    <row r="26" spans="2:6" ht="12.5" x14ac:dyDescent="0.25">
      <c r="B26" s="86" t="s">
        <v>5</v>
      </c>
      <c r="C26" s="87" t="s">
        <v>105</v>
      </c>
      <c r="D26" s="64" t="str">
        <f>D8</f>
        <v>360</v>
      </c>
      <c r="F26" s="1"/>
    </row>
    <row r="27" spans="2:6" ht="12.5" x14ac:dyDescent="0.25">
      <c r="B27" s="86" t="s">
        <v>3</v>
      </c>
      <c r="C27" s="87" t="s">
        <v>111</v>
      </c>
      <c r="D27" s="64">
        <f>D16</f>
        <v>150000</v>
      </c>
      <c r="F27" s="1"/>
    </row>
    <row r="28" spans="2:6" ht="12.5" x14ac:dyDescent="0.25">
      <c r="B28" s="86" t="s">
        <v>1</v>
      </c>
      <c r="C28" s="87" t="s">
        <v>117</v>
      </c>
      <c r="D28" s="62">
        <f>ROUND((D24/D25*D26)+D27,0)</f>
        <v>2310000</v>
      </c>
      <c r="F28" s="1"/>
    </row>
    <row r="29" spans="2:6" ht="12.5" x14ac:dyDescent="0.25">
      <c r="B29" s="48" t="s">
        <v>5</v>
      </c>
      <c r="C29" s="78" t="s">
        <v>6</v>
      </c>
      <c r="D29" s="74">
        <v>0.8</v>
      </c>
      <c r="F29" s="1"/>
    </row>
    <row r="30" spans="2:6" ht="12.5" hidden="1" x14ac:dyDescent="0.25">
      <c r="B30" s="48"/>
      <c r="C30" s="79" t="s">
        <v>133</v>
      </c>
      <c r="D30" s="80">
        <f>ROUND(D28*D29,0)</f>
        <v>1848000</v>
      </c>
      <c r="F30" s="1"/>
    </row>
    <row r="31" spans="2:6" ht="12.5" x14ac:dyDescent="0.25">
      <c r="B31" s="48" t="s">
        <v>1</v>
      </c>
      <c r="C31" s="46" t="s">
        <v>88</v>
      </c>
      <c r="D31" s="62">
        <f>IF(D30&lt;1001,0,D30)</f>
        <v>1848000</v>
      </c>
      <c r="F31" s="1"/>
    </row>
    <row r="32" spans="2:6" ht="12.5" x14ac:dyDescent="0.25">
      <c r="B32" s="48"/>
      <c r="C32" s="70" t="s">
        <v>32</v>
      </c>
      <c r="D32" s="88"/>
      <c r="F32" s="1"/>
    </row>
    <row r="33" spans="2:6" ht="12.5" x14ac:dyDescent="0.25">
      <c r="B33" s="48" t="s">
        <v>4</v>
      </c>
      <c r="C33" s="67" t="s">
        <v>123</v>
      </c>
      <c r="D33" s="61">
        <f>(D9+D10)</f>
        <v>56520</v>
      </c>
      <c r="F33" s="1"/>
    </row>
    <row r="34" spans="2:6" ht="12.5" x14ac:dyDescent="0.25">
      <c r="B34" s="48" t="s">
        <v>1</v>
      </c>
      <c r="C34" s="67"/>
      <c r="D34" s="61">
        <f>D31-D33</f>
        <v>1791480</v>
      </c>
      <c r="F34" s="1"/>
    </row>
    <row r="35" spans="2:6" ht="12.5" x14ac:dyDescent="0.25">
      <c r="B35" s="48" t="s">
        <v>5</v>
      </c>
      <c r="C35" s="89" t="s">
        <v>6</v>
      </c>
      <c r="D35" s="90">
        <v>0.85</v>
      </c>
      <c r="F35" s="1"/>
    </row>
    <row r="36" spans="2:6" ht="12.5" x14ac:dyDescent="0.25">
      <c r="B36" s="48" t="s">
        <v>1</v>
      </c>
      <c r="C36" s="89" t="s">
        <v>85</v>
      </c>
      <c r="D36" s="61">
        <f>ROUND(D34*85/100,0)</f>
        <v>1522758</v>
      </c>
      <c r="F36" s="1"/>
    </row>
    <row r="37" spans="2:6" ht="12.5" x14ac:dyDescent="0.25">
      <c r="B37" s="48" t="s">
        <v>86</v>
      </c>
      <c r="C37" s="67" t="s">
        <v>87</v>
      </c>
      <c r="D37" s="91">
        <f>D6</f>
        <v>1.5</v>
      </c>
      <c r="F37" s="1"/>
    </row>
    <row r="38" spans="2:6" ht="12.5" x14ac:dyDescent="0.25">
      <c r="B38" s="48" t="s">
        <v>1</v>
      </c>
      <c r="C38" s="67" t="s">
        <v>89</v>
      </c>
      <c r="D38" s="91">
        <f>D36/D37</f>
        <v>1015172</v>
      </c>
      <c r="F38" s="1"/>
    </row>
    <row r="39" spans="2:6" ht="12.5" x14ac:dyDescent="0.25">
      <c r="B39" s="48" t="s">
        <v>5</v>
      </c>
      <c r="C39" s="46" t="s">
        <v>90</v>
      </c>
      <c r="D39" s="62">
        <f>LOOKUP(D38,List!A13:A20,List!C13:C20)</f>
        <v>20</v>
      </c>
    </row>
    <row r="40" spans="2:6" ht="12.5" x14ac:dyDescent="0.25">
      <c r="B40" s="48" t="s">
        <v>86</v>
      </c>
      <c r="C40" s="46" t="s">
        <v>127</v>
      </c>
      <c r="D40" s="62">
        <f>LOOKUP(D38,List!A13:A20,List!D13:D20)</f>
        <v>120</v>
      </c>
    </row>
    <row r="41" spans="2:6" ht="12.5" x14ac:dyDescent="0.25">
      <c r="B41" s="48"/>
      <c r="C41" s="46"/>
      <c r="D41" s="62">
        <f>IFERROR(D38*D39/D40,0)</f>
        <v>169195.33333333334</v>
      </c>
    </row>
    <row r="42" spans="2:6" ht="12.5" x14ac:dyDescent="0.25">
      <c r="B42" s="48" t="s">
        <v>1</v>
      </c>
      <c r="C42" s="46"/>
      <c r="D42" s="62">
        <f>ROUND(D41,0)</f>
        <v>169195</v>
      </c>
    </row>
    <row r="43" spans="2:6" ht="12.5" x14ac:dyDescent="0.25">
      <c r="B43" s="48" t="s">
        <v>4</v>
      </c>
      <c r="C43" s="46" t="s">
        <v>30</v>
      </c>
      <c r="D43" s="62">
        <f>LOOKUP(D38,List!A13:A20,List!B13:B20)</f>
        <v>84375</v>
      </c>
    </row>
    <row r="44" spans="2:6" ht="12.5" x14ac:dyDescent="0.25">
      <c r="B44" s="48" t="s">
        <v>5</v>
      </c>
      <c r="C44" s="46" t="s">
        <v>13</v>
      </c>
      <c r="D44" s="92">
        <f>D6</f>
        <v>1.5</v>
      </c>
    </row>
    <row r="45" spans="2:6" ht="12.5" x14ac:dyDescent="0.25">
      <c r="B45" s="48" t="s">
        <v>1</v>
      </c>
      <c r="C45" s="46" t="s">
        <v>124</v>
      </c>
      <c r="D45" s="62">
        <f>ROUND((D42-D43)*D44,0)</f>
        <v>127230</v>
      </c>
    </row>
    <row r="46" spans="2:6" ht="12.5" x14ac:dyDescent="0.25">
      <c r="B46" s="48" t="s">
        <v>86</v>
      </c>
      <c r="C46" s="46" t="s">
        <v>105</v>
      </c>
      <c r="D46" s="64" t="str">
        <f>D26</f>
        <v>360</v>
      </c>
    </row>
    <row r="47" spans="2:6" ht="12.5" x14ac:dyDescent="0.25">
      <c r="B47" s="48" t="s">
        <v>5</v>
      </c>
      <c r="C47" s="46" t="s">
        <v>104</v>
      </c>
      <c r="D47" s="64" t="str">
        <f>D25</f>
        <v>250</v>
      </c>
    </row>
    <row r="48" spans="2:6" ht="12.5" x14ac:dyDescent="0.25">
      <c r="B48" s="48" t="s">
        <v>1</v>
      </c>
      <c r="C48" s="46" t="s">
        <v>125</v>
      </c>
      <c r="D48" s="62">
        <f>ROUND(D45/D46*D47,0)</f>
        <v>88354</v>
      </c>
    </row>
    <row r="49" spans="2:6" ht="12.5" x14ac:dyDescent="0.25">
      <c r="B49" s="48" t="s">
        <v>4</v>
      </c>
      <c r="C49" s="46" t="s">
        <v>126</v>
      </c>
      <c r="D49" s="93">
        <f>D17</f>
        <v>0</v>
      </c>
    </row>
    <row r="50" spans="2:6" ht="13" thickBot="1" x14ac:dyDescent="0.3">
      <c r="B50" s="48" t="s">
        <v>1</v>
      </c>
      <c r="C50" s="70" t="s">
        <v>31</v>
      </c>
      <c r="D50" s="71">
        <f>D48-D49</f>
        <v>88354</v>
      </c>
      <c r="F50" s="1"/>
    </row>
    <row r="51" spans="2:6" ht="12" thickTop="1" x14ac:dyDescent="0.25">
      <c r="F51" s="1"/>
    </row>
    <row r="52" spans="2:6" x14ac:dyDescent="0.25"/>
    <row r="53" spans="2:6" x14ac:dyDescent="0.25">
      <c r="B53" s="40" t="s">
        <v>8</v>
      </c>
      <c r="C53" s="38"/>
      <c r="D53" s="41"/>
      <c r="E53" s="38"/>
      <c r="F53" s="36"/>
    </row>
    <row r="54" spans="2:6" ht="22.25" customHeight="1" x14ac:dyDescent="0.2">
      <c r="B54" s="42" t="s">
        <v>9</v>
      </c>
      <c r="C54" s="42"/>
      <c r="D54" s="42"/>
      <c r="E54" s="42"/>
      <c r="F54" s="42"/>
    </row>
    <row r="55" spans="2:6" x14ac:dyDescent="0.25">
      <c r="B55" s="40" t="s">
        <v>10</v>
      </c>
      <c r="C55" s="38"/>
      <c r="D55" s="41"/>
      <c r="E55" s="38"/>
      <c r="F55" s="36"/>
    </row>
    <row r="56" spans="2:6" x14ac:dyDescent="0.25">
      <c r="B56" s="40" t="s">
        <v>155</v>
      </c>
      <c r="C56" s="38"/>
      <c r="D56" s="41"/>
      <c r="E56" s="38"/>
      <c r="F56" s="36"/>
    </row>
    <row r="57" spans="2:6" x14ac:dyDescent="0.25">
      <c r="B57" s="40" t="s">
        <v>11</v>
      </c>
      <c r="C57" s="38"/>
      <c r="D57" s="41"/>
      <c r="E57" s="38"/>
      <c r="F57" s="36"/>
    </row>
    <row r="58" spans="2:6" x14ac:dyDescent="0.25"/>
    <row r="70" spans="3:6" s="5" customFormat="1" hidden="1" x14ac:dyDescent="0.25">
      <c r="C70" s="1"/>
      <c r="D70" s="6"/>
      <c r="E70" s="1"/>
      <c r="F70" s="2"/>
    </row>
    <row r="71" spans="3:6" s="5" customFormat="1" hidden="1" x14ac:dyDescent="0.25">
      <c r="C71" s="1"/>
      <c r="D71" s="6"/>
      <c r="E71" s="1"/>
      <c r="F71" s="2"/>
    </row>
    <row r="72" spans="3:6" s="5" customFormat="1" hidden="1" x14ac:dyDescent="0.25">
      <c r="C72" s="1"/>
      <c r="D72" s="6"/>
      <c r="E72" s="1"/>
      <c r="F72" s="2"/>
    </row>
    <row r="73" spans="3:6" s="5" customFormat="1" hidden="1" x14ac:dyDescent="0.25">
      <c r="C73" s="1"/>
      <c r="D73" s="6"/>
      <c r="E73" s="1"/>
      <c r="F73" s="2"/>
    </row>
    <row r="74" spans="3:6" s="5" customFormat="1" hidden="1" x14ac:dyDescent="0.25">
      <c r="C74" s="1"/>
      <c r="D74" s="6"/>
      <c r="E74" s="1"/>
      <c r="F74" s="2"/>
    </row>
    <row r="75" spans="3:6" s="5" customFormat="1" hidden="1" x14ac:dyDescent="0.25">
      <c r="C75" s="1"/>
      <c r="D75" s="6"/>
      <c r="E75" s="1"/>
      <c r="F75" s="2"/>
    </row>
  </sheetData>
  <sheetProtection algorithmName="SHA-512" hashValue="1TCCkOym7t2n3A5RoGYWUExXon/Ckzr2WcsxWS90tzSDwZVnILOoow01kMP0hTHjb6XwfdxGGW9gufodh+Dk0A==" saltValue="dPYGJDh8GtdTS5mNeRAOkg==" spinCount="100000" sheet="1" objects="1" selectLockedCells="1"/>
  <mergeCells count="3">
    <mergeCell ref="B2:D2"/>
    <mergeCell ref="B54:F54"/>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97B9-DE56-42FB-94A0-048D1B0ED51A}">
  <dimension ref="A1:F41"/>
  <sheetViews>
    <sheetView showGridLines="0" showRowColHeaders="0" showWhiteSpace="0" zoomScaleNormal="100" workbookViewId="0">
      <selection activeCell="D6" sqref="D6"/>
    </sheetView>
  </sheetViews>
  <sheetFormatPr defaultColWidth="0" defaultRowHeight="11.5" zeroHeight="1" x14ac:dyDescent="0.25"/>
  <cols>
    <col min="1" max="1" width="2" style="1" customWidth="1"/>
    <col min="2" max="2" width="5.36328125" style="5" customWidth="1"/>
    <col min="3" max="3" width="60.26953125" style="1" customWidth="1"/>
    <col min="4" max="4" width="22.54296875" style="6" customWidth="1"/>
    <col min="5" max="5" width="2.6328125" style="1" customWidth="1"/>
    <col min="6" max="6" width="83.6328125" style="2" customWidth="1"/>
    <col min="7" max="16384" width="9.08984375" style="1" hidden="1"/>
  </cols>
  <sheetData>
    <row r="1" spans="2:6" ht="47" customHeight="1" x14ac:dyDescent="0.25">
      <c r="C1" s="7"/>
    </row>
    <row r="2" spans="2:6" ht="30" customHeight="1" x14ac:dyDescent="0.2">
      <c r="B2" s="27" t="s">
        <v>154</v>
      </c>
      <c r="C2" s="28"/>
      <c r="D2" s="29"/>
    </row>
    <row r="3" spans="2:6" x14ac:dyDescent="0.25">
      <c r="B3" s="3"/>
      <c r="C3" s="4"/>
      <c r="D3" s="4"/>
    </row>
    <row r="4" spans="2:6" ht="15" customHeight="1" x14ac:dyDescent="0.3">
      <c r="B4" s="53"/>
      <c r="C4" s="30" t="s">
        <v>167</v>
      </c>
      <c r="D4" s="30"/>
      <c r="F4" s="37" t="s">
        <v>168</v>
      </c>
    </row>
    <row r="5" spans="2:6" ht="15" customHeight="1" x14ac:dyDescent="0.25">
      <c r="B5" s="53"/>
      <c r="C5" s="96"/>
      <c r="D5" s="97"/>
      <c r="F5" s="37"/>
    </row>
    <row r="6" spans="2:6" ht="30" customHeight="1" x14ac:dyDescent="0.25">
      <c r="B6" s="53"/>
      <c r="C6" s="43" t="s">
        <v>150</v>
      </c>
      <c r="D6" s="44" t="s">
        <v>15</v>
      </c>
      <c r="F6" s="31" t="s">
        <v>149</v>
      </c>
    </row>
    <row r="7" spans="2:6" ht="15" customHeight="1" x14ac:dyDescent="0.25">
      <c r="B7" s="53"/>
      <c r="C7" s="46" t="s">
        <v>137</v>
      </c>
      <c r="D7" s="100" t="s">
        <v>14</v>
      </c>
      <c r="F7" s="32" t="s">
        <v>138</v>
      </c>
    </row>
    <row r="8" spans="2:6" ht="15" customHeight="1" x14ac:dyDescent="0.25">
      <c r="B8" s="53"/>
      <c r="C8" s="45" t="s">
        <v>104</v>
      </c>
      <c r="D8" s="44" t="s">
        <v>163</v>
      </c>
      <c r="F8" s="37"/>
    </row>
    <row r="9" spans="2:6" ht="15" customHeight="1" x14ac:dyDescent="0.25">
      <c r="B9" s="53"/>
      <c r="C9" s="45" t="s">
        <v>105</v>
      </c>
      <c r="D9" s="54" t="s">
        <v>106</v>
      </c>
      <c r="F9" s="31" t="s">
        <v>107</v>
      </c>
    </row>
    <row r="10" spans="2:6" ht="15" customHeight="1" x14ac:dyDescent="0.25">
      <c r="B10" s="55"/>
      <c r="C10" s="46" t="s">
        <v>100</v>
      </c>
      <c r="D10" s="47">
        <v>1500000</v>
      </c>
      <c r="F10" s="32"/>
    </row>
    <row r="11" spans="2:6" ht="15" customHeight="1" x14ac:dyDescent="0.25">
      <c r="B11" s="55"/>
      <c r="C11" s="46" t="s">
        <v>16</v>
      </c>
      <c r="D11" s="47"/>
      <c r="F11" s="33"/>
    </row>
    <row r="12" spans="2:6" ht="15" customHeight="1" x14ac:dyDescent="0.25">
      <c r="B12" s="55"/>
      <c r="C12" s="46" t="s">
        <v>17</v>
      </c>
      <c r="D12" s="47"/>
      <c r="F12" s="32"/>
    </row>
    <row r="13" spans="2:6" ht="15" customHeight="1" x14ac:dyDescent="0.25">
      <c r="B13" s="55"/>
      <c r="C13" s="46" t="s">
        <v>79</v>
      </c>
      <c r="D13" s="47"/>
      <c r="F13" s="32" t="s">
        <v>83</v>
      </c>
    </row>
    <row r="14" spans="2:6" ht="15" customHeight="1" x14ac:dyDescent="0.25">
      <c r="B14" s="55"/>
      <c r="C14" s="46" t="s">
        <v>0</v>
      </c>
      <c r="D14" s="47"/>
      <c r="F14" s="32" t="s">
        <v>97</v>
      </c>
    </row>
    <row r="15" spans="2:6" ht="15" customHeight="1" x14ac:dyDescent="0.25">
      <c r="B15" s="55"/>
      <c r="C15" s="46" t="s">
        <v>18</v>
      </c>
      <c r="D15" s="47">
        <v>150000</v>
      </c>
      <c r="F15" s="32" t="s">
        <v>84</v>
      </c>
    </row>
    <row r="16" spans="2:6" ht="15" customHeight="1" x14ac:dyDescent="0.25">
      <c r="B16" s="55"/>
      <c r="C16" s="46" t="s">
        <v>142</v>
      </c>
      <c r="D16" s="47"/>
      <c r="F16" s="32"/>
    </row>
    <row r="17" spans="2:6" ht="15" customHeight="1" x14ac:dyDescent="0.25">
      <c r="B17" s="55"/>
      <c r="C17" s="55"/>
      <c r="D17" s="56"/>
      <c r="F17" s="36"/>
    </row>
    <row r="18" spans="2:6" ht="15" customHeight="1" thickBot="1" x14ac:dyDescent="0.3">
      <c r="B18" s="48" t="s">
        <v>1</v>
      </c>
      <c r="C18" s="48" t="s">
        <v>139</v>
      </c>
      <c r="D18" s="49">
        <f>D34</f>
        <v>151800</v>
      </c>
      <c r="F18" s="38"/>
    </row>
    <row r="19" spans="2:6" ht="15" customHeight="1" thickTop="1" x14ac:dyDescent="0.25">
      <c r="B19" s="55"/>
      <c r="C19" s="55"/>
      <c r="D19" s="56"/>
      <c r="F19" s="39"/>
    </row>
    <row r="20" spans="2:6" ht="15" customHeight="1" x14ac:dyDescent="0.25">
      <c r="B20" s="55"/>
      <c r="C20" s="55" t="s">
        <v>2</v>
      </c>
      <c r="D20" s="56"/>
      <c r="F20" s="38"/>
    </row>
    <row r="21" spans="2:6" ht="15" customHeight="1" x14ac:dyDescent="0.25">
      <c r="B21" s="75"/>
      <c r="C21" s="50" t="s">
        <v>162</v>
      </c>
      <c r="D21" s="76"/>
      <c r="F21" s="38"/>
    </row>
    <row r="22" spans="2:6" ht="15" customHeight="1" x14ac:dyDescent="0.25">
      <c r="B22" s="77"/>
      <c r="C22" s="60" t="s">
        <v>146</v>
      </c>
      <c r="D22" s="61">
        <f>D10/D8*D9</f>
        <v>2160000</v>
      </c>
      <c r="F22" s="36" t="s">
        <v>147</v>
      </c>
    </row>
    <row r="23" spans="2:6" ht="12.5" x14ac:dyDescent="0.25">
      <c r="B23" s="48"/>
      <c r="C23" s="46" t="s">
        <v>109</v>
      </c>
      <c r="D23" s="62">
        <f>IF(AND(D22&lt;300000,D22&gt;0),D11+D12+D13-D14+D15,D10+D11+D12+D13-D14+D15)</f>
        <v>1650000</v>
      </c>
      <c r="F23" s="1"/>
    </row>
    <row r="24" spans="2:6" ht="12.5" x14ac:dyDescent="0.25">
      <c r="B24" s="48" t="s">
        <v>5</v>
      </c>
      <c r="C24" s="78" t="s">
        <v>6</v>
      </c>
      <c r="D24" s="74">
        <v>0.8</v>
      </c>
      <c r="F24" s="1"/>
    </row>
    <row r="25" spans="2:6" ht="12.5" hidden="1" x14ac:dyDescent="0.25">
      <c r="B25" s="48"/>
      <c r="C25" s="79" t="s">
        <v>133</v>
      </c>
      <c r="D25" s="80">
        <f>ROUND(D23*80/100,0)</f>
        <v>1320000</v>
      </c>
      <c r="F25" s="1"/>
    </row>
    <row r="26" spans="2:6" ht="12.5" x14ac:dyDescent="0.25">
      <c r="B26" s="48" t="s">
        <v>1</v>
      </c>
      <c r="C26" s="46" t="s">
        <v>134</v>
      </c>
      <c r="D26" s="62">
        <f>IF(D23&lt;1001,0,D25)</f>
        <v>1320000</v>
      </c>
      <c r="F26" s="1"/>
    </row>
    <row r="27" spans="2:6" ht="12.5" hidden="1" x14ac:dyDescent="0.25">
      <c r="B27" s="48"/>
      <c r="C27" s="98" t="s">
        <v>151</v>
      </c>
      <c r="D27" s="74">
        <f>IF(AND(D7="N",D6="Y"),2%,0)</f>
        <v>0</v>
      </c>
      <c r="F27" s="1"/>
    </row>
    <row r="28" spans="2:6" ht="12.5" hidden="1" x14ac:dyDescent="0.25">
      <c r="B28" s="48"/>
      <c r="C28" s="98" t="s">
        <v>153</v>
      </c>
      <c r="D28" s="74">
        <f>IF(AND(D7="Y",D6="Y"),2%,0)</f>
        <v>0</v>
      </c>
      <c r="F28" s="1"/>
    </row>
    <row r="29" spans="2:6" ht="12.5" hidden="1" x14ac:dyDescent="0.25">
      <c r="B29" s="48"/>
      <c r="C29" s="98" t="s">
        <v>152</v>
      </c>
      <c r="D29" s="74">
        <f>IF(AND(D7="Y",D6="N"),11.5%,0)</f>
        <v>0.115</v>
      </c>
      <c r="F29" s="1"/>
    </row>
    <row r="30" spans="2:6" ht="12.5" x14ac:dyDescent="0.25">
      <c r="B30" s="48" t="s">
        <v>20</v>
      </c>
      <c r="C30" s="46" t="s">
        <v>6</v>
      </c>
      <c r="D30" s="74">
        <f>SUM(D27:D29)</f>
        <v>0.115</v>
      </c>
      <c r="F30" s="1"/>
    </row>
    <row r="31" spans="2:6" ht="12.5" hidden="1" x14ac:dyDescent="0.25">
      <c r="B31" s="48"/>
      <c r="C31" s="98" t="s">
        <v>133</v>
      </c>
      <c r="D31" s="99">
        <f>D26*D30</f>
        <v>151800</v>
      </c>
      <c r="F31" s="1"/>
    </row>
    <row r="32" spans="2:6" ht="12.5" x14ac:dyDescent="0.25">
      <c r="B32" s="48" t="s">
        <v>1</v>
      </c>
      <c r="C32" s="67" t="s">
        <v>140</v>
      </c>
      <c r="D32" s="61">
        <f>ROUND(D31,0)</f>
        <v>151800</v>
      </c>
      <c r="F32" s="1"/>
    </row>
    <row r="33" spans="2:6" ht="12.5" x14ac:dyDescent="0.25">
      <c r="B33" s="48" t="s">
        <v>4</v>
      </c>
      <c r="C33" s="67" t="s">
        <v>141</v>
      </c>
      <c r="D33" s="61">
        <f>D16</f>
        <v>0</v>
      </c>
      <c r="F33" s="1"/>
    </row>
    <row r="34" spans="2:6" ht="12.5" x14ac:dyDescent="0.25">
      <c r="B34" s="48" t="s">
        <v>1</v>
      </c>
      <c r="C34" s="70" t="s">
        <v>139</v>
      </c>
      <c r="D34" s="81">
        <f>D32-D33</f>
        <v>151800</v>
      </c>
      <c r="F34" s="1"/>
    </row>
    <row r="35" spans="2:6" x14ac:dyDescent="0.25"/>
    <row r="36" spans="2:6" x14ac:dyDescent="0.25">
      <c r="B36" s="40" t="s">
        <v>8</v>
      </c>
      <c r="C36" s="38"/>
      <c r="D36" s="41"/>
      <c r="E36" s="38"/>
      <c r="F36" s="36"/>
    </row>
    <row r="37" spans="2:6" ht="22.25" customHeight="1" x14ac:dyDescent="0.2">
      <c r="B37" s="42" t="s">
        <v>9</v>
      </c>
      <c r="C37" s="42"/>
      <c r="D37" s="42"/>
      <c r="E37" s="42"/>
      <c r="F37" s="42"/>
    </row>
    <row r="38" spans="2:6" x14ac:dyDescent="0.25">
      <c r="B38" s="40" t="s">
        <v>10</v>
      </c>
      <c r="C38" s="38"/>
      <c r="D38" s="41"/>
      <c r="E38" s="38"/>
      <c r="F38" s="36"/>
    </row>
    <row r="39" spans="2:6" x14ac:dyDescent="0.25">
      <c r="B39" s="40" t="s">
        <v>155</v>
      </c>
      <c r="C39" s="38"/>
      <c r="D39" s="41"/>
      <c r="E39" s="38"/>
      <c r="F39" s="36"/>
    </row>
    <row r="40" spans="2:6" x14ac:dyDescent="0.25">
      <c r="B40" s="40" t="s">
        <v>11</v>
      </c>
      <c r="C40" s="38"/>
      <c r="D40" s="41"/>
      <c r="E40" s="38"/>
      <c r="F40" s="36"/>
    </row>
    <row r="41" spans="2:6" x14ac:dyDescent="0.25"/>
  </sheetData>
  <sheetProtection algorithmName="SHA-512" hashValue="xtCjniz2u8n2Ssw9gxDxpEm/dk7QfPB/nN1fWQTr447RntlZytLcKclZsgSFtAJ2WhxGdLcGQIUeJYrwLcmyvQ==" saltValue="Kd/a7YoEaM9DhXfEBbPUBA==" spinCount="100000" sheet="1" selectLockedCells="1"/>
  <mergeCells count="3">
    <mergeCell ref="B2:D2"/>
    <mergeCell ref="B37:F37"/>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FA1D11A-292A-4EFE-A807-285C928AE727}">
          <x14:formula1>
            <xm:f>'LookUp List'!$A$1:$A$2</xm:f>
          </x14:formula1>
          <xm:sqref>D7</xm:sqref>
        </x14:dataValidation>
        <x14:dataValidation type="list" allowBlank="1" showInputMessage="1" showErrorMessage="1" xr:uid="{478292D9-EBDB-4C6E-A9D4-C31832549077}">
          <x14:formula1>
            <xm:f>List!$A$1:$A$2</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dimension ref="A1:F53"/>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5" customWidth="1"/>
    <col min="3" max="3" width="61.54296875" style="1" customWidth="1"/>
    <col min="4" max="4" width="19.54296875" style="6" customWidth="1"/>
    <col min="5" max="5" width="2.6328125" style="1" customWidth="1"/>
    <col min="6" max="6" width="82.36328125" style="2" customWidth="1"/>
    <col min="7" max="16384" width="9.08984375" style="1" hidden="1"/>
  </cols>
  <sheetData>
    <row r="1" spans="2:6" ht="47" customHeight="1" x14ac:dyDescent="0.25">
      <c r="C1" s="7"/>
    </row>
    <row r="2" spans="2:6" ht="30" customHeight="1" x14ac:dyDescent="0.2">
      <c r="B2" s="27" t="s">
        <v>160</v>
      </c>
      <c r="C2" s="28"/>
      <c r="D2" s="29"/>
    </row>
    <row r="3" spans="2:6" x14ac:dyDescent="0.25">
      <c r="B3" s="3"/>
      <c r="C3" s="4"/>
      <c r="D3" s="4"/>
    </row>
    <row r="4" spans="2:6" ht="15" customHeight="1" x14ac:dyDescent="0.3">
      <c r="B4" s="3"/>
      <c r="C4" s="30" t="s">
        <v>166</v>
      </c>
      <c r="D4" s="30"/>
      <c r="F4" s="37" t="s">
        <v>168</v>
      </c>
    </row>
    <row r="5" spans="2:6" ht="15" customHeight="1" x14ac:dyDescent="0.35">
      <c r="B5" s="3"/>
      <c r="C5" s="9"/>
      <c r="D5" s="10"/>
      <c r="F5" s="37"/>
    </row>
    <row r="6" spans="2:6" ht="15" customHeight="1" x14ac:dyDescent="0.25">
      <c r="B6" s="53"/>
      <c r="C6" s="45" t="s">
        <v>104</v>
      </c>
      <c r="D6" s="94" t="s">
        <v>163</v>
      </c>
      <c r="F6" s="37"/>
    </row>
    <row r="7" spans="2:6" ht="15" customHeight="1" x14ac:dyDescent="0.25">
      <c r="B7" s="53"/>
      <c r="C7" s="45" t="s">
        <v>105</v>
      </c>
      <c r="D7" s="54" t="s">
        <v>106</v>
      </c>
      <c r="F7" s="31" t="s">
        <v>107</v>
      </c>
    </row>
    <row r="8" spans="2:6" ht="15" customHeight="1" x14ac:dyDescent="0.25">
      <c r="B8" s="55"/>
      <c r="C8" s="46" t="s">
        <v>100</v>
      </c>
      <c r="D8" s="95">
        <v>1500000</v>
      </c>
      <c r="F8" s="33"/>
    </row>
    <row r="9" spans="2:6" ht="15" customHeight="1" x14ac:dyDescent="0.25">
      <c r="B9" s="55"/>
      <c r="C9" s="46" t="s">
        <v>16</v>
      </c>
      <c r="D9" s="95"/>
      <c r="F9" s="51"/>
    </row>
    <row r="10" spans="2:6" ht="15" customHeight="1" x14ac:dyDescent="0.25">
      <c r="B10" s="55"/>
      <c r="C10" s="46" t="s">
        <v>17</v>
      </c>
      <c r="D10" s="95"/>
      <c r="F10" s="32"/>
    </row>
    <row r="11" spans="2:6" ht="15" customHeight="1" x14ac:dyDescent="0.25">
      <c r="B11" s="55"/>
      <c r="C11" s="46" t="s">
        <v>79</v>
      </c>
      <c r="D11" s="95"/>
      <c r="F11" s="32" t="s">
        <v>83</v>
      </c>
    </row>
    <row r="12" spans="2:6" ht="15" customHeight="1" x14ac:dyDescent="0.25">
      <c r="B12" s="55"/>
      <c r="C12" s="46" t="s">
        <v>0</v>
      </c>
      <c r="D12" s="95"/>
      <c r="F12" s="32" t="s">
        <v>97</v>
      </c>
    </row>
    <row r="13" spans="2:6" ht="15" customHeight="1" x14ac:dyDescent="0.25">
      <c r="B13" s="55"/>
      <c r="C13" s="46" t="s">
        <v>18</v>
      </c>
      <c r="D13" s="95">
        <v>150000</v>
      </c>
      <c r="F13" s="32" t="s">
        <v>84</v>
      </c>
    </row>
    <row r="14" spans="2:6" ht="15" customHeight="1" x14ac:dyDescent="0.25">
      <c r="B14" s="55"/>
      <c r="C14" s="46" t="s">
        <v>128</v>
      </c>
      <c r="D14" s="95"/>
      <c r="F14" s="32"/>
    </row>
    <row r="15" spans="2:6" ht="15" customHeight="1" x14ac:dyDescent="0.25">
      <c r="B15" s="55"/>
      <c r="C15" s="55"/>
      <c r="D15" s="56"/>
      <c r="F15" s="36"/>
    </row>
    <row r="16" spans="2:6" ht="15" customHeight="1" thickBot="1" x14ac:dyDescent="0.3">
      <c r="B16" s="48" t="s">
        <v>1</v>
      </c>
      <c r="C16" s="48" t="s">
        <v>50</v>
      </c>
      <c r="D16" s="49">
        <f>D28</f>
        <v>6600</v>
      </c>
      <c r="F16" s="38"/>
    </row>
    <row r="17" spans="2:6" ht="15" customHeight="1" thickTop="1" x14ac:dyDescent="0.25">
      <c r="B17" s="55"/>
      <c r="C17" s="55"/>
      <c r="D17" s="56"/>
      <c r="F17" s="39"/>
    </row>
    <row r="18" spans="2:6" ht="12.5" x14ac:dyDescent="0.25">
      <c r="B18" s="55"/>
      <c r="C18" s="52" t="s">
        <v>51</v>
      </c>
      <c r="D18" s="56"/>
      <c r="F18" s="38"/>
    </row>
    <row r="19" spans="2:6" ht="12.5" x14ac:dyDescent="0.25">
      <c r="B19" s="57"/>
      <c r="C19" s="58" t="s">
        <v>129</v>
      </c>
      <c r="D19" s="59"/>
      <c r="F19" s="38"/>
    </row>
    <row r="20" spans="2:6" ht="12.5" x14ac:dyDescent="0.25">
      <c r="B20" s="57"/>
      <c r="C20" s="60" t="s">
        <v>146</v>
      </c>
      <c r="D20" s="61">
        <f>D8/D6*D7</f>
        <v>2160000</v>
      </c>
      <c r="F20" s="36" t="s">
        <v>147</v>
      </c>
    </row>
    <row r="21" spans="2:6" ht="12.5" x14ac:dyDescent="0.25">
      <c r="B21" s="48" t="s">
        <v>1</v>
      </c>
      <c r="C21" s="46" t="s">
        <v>109</v>
      </c>
      <c r="D21" s="62">
        <f>IF(AND(D20&lt;300000,D20&gt;0),D9+D10+D11-D12+D13,D8+D9+D10+D11-D12+D13)</f>
        <v>1650000</v>
      </c>
      <c r="F21" s="38"/>
    </row>
    <row r="22" spans="2:6" ht="12.5" x14ac:dyDescent="0.25">
      <c r="B22" s="48" t="s">
        <v>20</v>
      </c>
      <c r="C22" s="78" t="s">
        <v>6</v>
      </c>
      <c r="D22" s="74">
        <v>0.8</v>
      </c>
      <c r="F22" s="1"/>
    </row>
    <row r="23" spans="2:6" ht="12.5" x14ac:dyDescent="0.25">
      <c r="B23" s="48" t="s">
        <v>1</v>
      </c>
      <c r="C23" s="46" t="s">
        <v>21</v>
      </c>
      <c r="D23" s="62">
        <f>ROUND(D21*D22,0)</f>
        <v>1320000</v>
      </c>
      <c r="F23" s="1"/>
    </row>
    <row r="24" spans="2:6" ht="12.5" x14ac:dyDescent="0.25">
      <c r="B24" s="48"/>
      <c r="C24" s="70" t="s">
        <v>52</v>
      </c>
      <c r="D24" s="101"/>
      <c r="F24" s="1"/>
    </row>
    <row r="25" spans="2:6" ht="12.5" x14ac:dyDescent="0.25">
      <c r="B25" s="48" t="s">
        <v>5</v>
      </c>
      <c r="C25" s="46" t="s">
        <v>6</v>
      </c>
      <c r="D25" s="74">
        <v>5.0000000000000001E-3</v>
      </c>
      <c r="F25" s="1"/>
    </row>
    <row r="26" spans="2:6" ht="12.5" x14ac:dyDescent="0.25">
      <c r="B26" s="48" t="s">
        <v>1</v>
      </c>
      <c r="C26" s="46" t="s">
        <v>129</v>
      </c>
      <c r="D26" s="62">
        <f>ROUND(D23*D25,0)</f>
        <v>6600</v>
      </c>
      <c r="F26" s="1"/>
    </row>
    <row r="27" spans="2:6" ht="12.5" x14ac:dyDescent="0.25">
      <c r="B27" s="48" t="s">
        <v>4</v>
      </c>
      <c r="C27" s="46" t="s">
        <v>130</v>
      </c>
      <c r="D27" s="93">
        <f>D14</f>
        <v>0</v>
      </c>
      <c r="F27" s="1"/>
    </row>
    <row r="28" spans="2:6" ht="13" thickBot="1" x14ac:dyDescent="0.3">
      <c r="B28" s="48" t="s">
        <v>1</v>
      </c>
      <c r="C28" s="70" t="s">
        <v>53</v>
      </c>
      <c r="D28" s="71">
        <f>D26-D27</f>
        <v>6600</v>
      </c>
      <c r="F28" s="1"/>
    </row>
    <row r="29" spans="2:6" ht="12" thickTop="1" x14ac:dyDescent="0.25">
      <c r="F29" s="1"/>
    </row>
    <row r="30" spans="2:6" x14ac:dyDescent="0.25"/>
    <row r="31" spans="2:6" x14ac:dyDescent="0.25">
      <c r="B31" s="40" t="s">
        <v>8</v>
      </c>
      <c r="C31" s="38"/>
      <c r="D31" s="41"/>
      <c r="E31" s="38"/>
      <c r="F31" s="36"/>
    </row>
    <row r="32" spans="2:6" ht="22.25" customHeight="1" x14ac:dyDescent="0.2">
      <c r="B32" s="42" t="s">
        <v>9</v>
      </c>
      <c r="C32" s="42"/>
      <c r="D32" s="42"/>
      <c r="E32" s="42"/>
      <c r="F32" s="42"/>
    </row>
    <row r="33" spans="2:6" x14ac:dyDescent="0.25">
      <c r="B33" s="40" t="s">
        <v>10</v>
      </c>
      <c r="C33" s="38"/>
      <c r="D33" s="41"/>
      <c r="E33" s="38"/>
      <c r="F33" s="36"/>
    </row>
    <row r="34" spans="2:6" x14ac:dyDescent="0.25">
      <c r="B34" s="40" t="s">
        <v>155</v>
      </c>
      <c r="C34" s="38"/>
      <c r="D34" s="41"/>
      <c r="E34" s="38"/>
      <c r="F34" s="36"/>
    </row>
    <row r="35" spans="2:6" x14ac:dyDescent="0.25">
      <c r="B35" s="40" t="s">
        <v>11</v>
      </c>
      <c r="C35" s="38"/>
      <c r="D35" s="41"/>
      <c r="E35" s="38"/>
      <c r="F35" s="36"/>
    </row>
    <row r="36" spans="2:6" x14ac:dyDescent="0.25"/>
    <row r="48" spans="2:6" s="5" customFormat="1" hidden="1" x14ac:dyDescent="0.25">
      <c r="C48" s="1"/>
      <c r="D48" s="6"/>
      <c r="E48" s="1"/>
      <c r="F48" s="2"/>
    </row>
    <row r="49" spans="3:6" s="5" customFormat="1" hidden="1" x14ac:dyDescent="0.25">
      <c r="C49" s="1"/>
      <c r="D49" s="6"/>
      <c r="E49" s="1"/>
      <c r="F49" s="2"/>
    </row>
    <row r="50" spans="3:6" s="5" customFormat="1" hidden="1" x14ac:dyDescent="0.25">
      <c r="C50" s="1"/>
      <c r="D50" s="6"/>
      <c r="E50" s="1"/>
      <c r="F50" s="2"/>
    </row>
    <row r="51" spans="3:6" s="5" customFormat="1" hidden="1" x14ac:dyDescent="0.25">
      <c r="C51" s="1"/>
      <c r="D51" s="6"/>
      <c r="E51" s="1"/>
      <c r="F51" s="2"/>
    </row>
    <row r="52" spans="3:6" s="5" customFormat="1" hidden="1" x14ac:dyDescent="0.25">
      <c r="C52" s="1"/>
      <c r="D52" s="6"/>
      <c r="E52" s="1"/>
      <c r="F52" s="2"/>
    </row>
    <row r="53" spans="3:6" s="5" customFormat="1" hidden="1" x14ac:dyDescent="0.25">
      <c r="C53" s="1"/>
      <c r="D53" s="6"/>
      <c r="E53" s="1"/>
      <c r="F53" s="2"/>
    </row>
  </sheetData>
  <sheetProtection algorithmName="SHA-512" hashValue="k8C3E2qMsV3u57jDLgU1VyMdCXX7NI32GceZqz2eCnwafpY1ve3Z8xMU8/+3LuUPX9T4VyDHfRaGKI/7rt4gtw==" saltValue="0otoBwe4at3Qe0PvHSvypA==" spinCount="100000" sheet="1" objects="1" selectLockedCells="1"/>
  <mergeCells count="3">
    <mergeCell ref="B2:D2"/>
    <mergeCell ref="B32:F3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dimension ref="A1:F53"/>
  <sheetViews>
    <sheetView showGridLines="0" showRowColHeaders="0" showWhiteSpace="0" zoomScaleNormal="100" workbookViewId="0">
      <selection activeCell="D9" sqref="D9"/>
    </sheetView>
  </sheetViews>
  <sheetFormatPr defaultColWidth="0" defaultRowHeight="11.5" zeroHeight="1" x14ac:dyDescent="0.25"/>
  <cols>
    <col min="1" max="1" width="2.54296875" style="1" customWidth="1"/>
    <col min="2" max="2" width="5.36328125" style="5" customWidth="1"/>
    <col min="3" max="3" width="58.6328125" style="1" customWidth="1"/>
    <col min="4" max="4" width="25.453125" style="6" customWidth="1"/>
    <col min="5" max="5" width="2.6328125" style="1" customWidth="1"/>
    <col min="6" max="6" width="104" style="2" customWidth="1"/>
    <col min="7" max="16384" width="9.08984375" style="1" hidden="1"/>
  </cols>
  <sheetData>
    <row r="1" spans="1:6" ht="47" customHeight="1" x14ac:dyDescent="0.25">
      <c r="C1" s="7"/>
    </row>
    <row r="2" spans="1:6" ht="30" customHeight="1" x14ac:dyDescent="0.2">
      <c r="B2" s="27" t="s">
        <v>158</v>
      </c>
      <c r="C2" s="28"/>
      <c r="D2" s="29"/>
    </row>
    <row r="3" spans="1:6" x14ac:dyDescent="0.25">
      <c r="B3" s="3"/>
      <c r="C3" s="4"/>
      <c r="D3" s="4"/>
    </row>
    <row r="4" spans="1:6" ht="15" customHeight="1" x14ac:dyDescent="0.3">
      <c r="B4" s="3"/>
      <c r="C4" s="30" t="s">
        <v>167</v>
      </c>
      <c r="D4" s="30"/>
      <c r="F4" s="37" t="s">
        <v>168</v>
      </c>
    </row>
    <row r="5" spans="1:6" ht="15" customHeight="1" x14ac:dyDescent="0.35">
      <c r="B5" s="3"/>
      <c r="C5" s="9"/>
      <c r="D5" s="10"/>
      <c r="F5" s="37"/>
    </row>
    <row r="6" spans="1:6" ht="52.5" customHeight="1" x14ac:dyDescent="0.25">
      <c r="A6" s="72"/>
      <c r="B6" s="53"/>
      <c r="C6" s="45" t="s">
        <v>161</v>
      </c>
      <c r="D6" s="104">
        <v>1.4999999999999999E-2</v>
      </c>
      <c r="F6" s="31" t="s">
        <v>165</v>
      </c>
    </row>
    <row r="7" spans="1:6" ht="15" customHeight="1" x14ac:dyDescent="0.25">
      <c r="A7" s="72"/>
      <c r="B7" s="53"/>
      <c r="C7" s="45" t="s">
        <v>104</v>
      </c>
      <c r="D7" s="44" t="s">
        <v>163</v>
      </c>
      <c r="F7" s="37"/>
    </row>
    <row r="8" spans="1:6" ht="15" customHeight="1" x14ac:dyDescent="0.25">
      <c r="A8" s="72"/>
      <c r="B8" s="53"/>
      <c r="C8" s="45" t="s">
        <v>105</v>
      </c>
      <c r="D8" s="54" t="s">
        <v>106</v>
      </c>
      <c r="F8" s="31" t="s">
        <v>107</v>
      </c>
    </row>
    <row r="9" spans="1:6" ht="15" customHeight="1" x14ac:dyDescent="0.25">
      <c r="A9" s="72"/>
      <c r="B9" s="55"/>
      <c r="C9" s="46" t="s">
        <v>100</v>
      </c>
      <c r="D9" s="47">
        <v>1500000</v>
      </c>
      <c r="F9" s="33"/>
    </row>
    <row r="10" spans="1:6" ht="15" customHeight="1" x14ac:dyDescent="0.25">
      <c r="A10" s="72"/>
      <c r="B10" s="55"/>
      <c r="C10" s="46" t="s">
        <v>16</v>
      </c>
      <c r="D10" s="47"/>
      <c r="F10" s="51"/>
    </row>
    <row r="11" spans="1:6" ht="15" customHeight="1" x14ac:dyDescent="0.25">
      <c r="A11" s="72"/>
      <c r="B11" s="55"/>
      <c r="C11" s="46" t="s">
        <v>17</v>
      </c>
      <c r="D11" s="47"/>
      <c r="F11" s="32"/>
    </row>
    <row r="12" spans="1:6" ht="15" customHeight="1" x14ac:dyDescent="0.25">
      <c r="A12" s="72"/>
      <c r="B12" s="55"/>
      <c r="C12" s="46" t="s">
        <v>79</v>
      </c>
      <c r="D12" s="47"/>
      <c r="F12" s="32" t="s">
        <v>83</v>
      </c>
    </row>
    <row r="13" spans="1:6" ht="15" customHeight="1" x14ac:dyDescent="0.25">
      <c r="A13" s="72"/>
      <c r="B13" s="55"/>
      <c r="C13" s="46" t="s">
        <v>0</v>
      </c>
      <c r="D13" s="47"/>
      <c r="F13" s="32" t="s">
        <v>97</v>
      </c>
    </row>
    <row r="14" spans="1:6" ht="15" customHeight="1" x14ac:dyDescent="0.25">
      <c r="A14" s="72"/>
      <c r="B14" s="55"/>
      <c r="C14" s="46" t="s">
        <v>18</v>
      </c>
      <c r="D14" s="47">
        <v>150000</v>
      </c>
      <c r="F14" s="32" t="s">
        <v>84</v>
      </c>
    </row>
    <row r="15" spans="1:6" ht="15" customHeight="1" x14ac:dyDescent="0.25">
      <c r="A15" s="72"/>
      <c r="B15" s="55"/>
      <c r="C15" s="46" t="s">
        <v>131</v>
      </c>
      <c r="D15" s="47"/>
      <c r="F15" s="32"/>
    </row>
    <row r="16" spans="1:6" ht="15" customHeight="1" x14ac:dyDescent="0.25">
      <c r="A16" s="72"/>
      <c r="B16" s="55"/>
      <c r="C16" s="55"/>
      <c r="D16" s="56"/>
      <c r="F16" s="36"/>
    </row>
    <row r="17" spans="1:6" ht="15" customHeight="1" thickBot="1" x14ac:dyDescent="0.3">
      <c r="A17" s="72"/>
      <c r="B17" s="48" t="s">
        <v>1</v>
      </c>
      <c r="C17" s="48" t="s">
        <v>54</v>
      </c>
      <c r="D17" s="49">
        <f>D28</f>
        <v>19800</v>
      </c>
      <c r="F17" s="38"/>
    </row>
    <row r="18" spans="1:6" ht="15" customHeight="1" thickTop="1" x14ac:dyDescent="0.25">
      <c r="A18" s="72"/>
      <c r="B18" s="55"/>
      <c r="C18" s="55"/>
      <c r="D18" s="56"/>
      <c r="F18" s="39"/>
    </row>
    <row r="19" spans="1:6" ht="12.5" x14ac:dyDescent="0.25">
      <c r="A19" s="72"/>
      <c r="B19" s="55"/>
      <c r="C19" s="52" t="s">
        <v>55</v>
      </c>
      <c r="D19" s="56"/>
      <c r="F19" s="38"/>
    </row>
    <row r="20" spans="1:6" ht="12.5" x14ac:dyDescent="0.25">
      <c r="A20" s="72"/>
      <c r="B20" s="57"/>
      <c r="C20" s="105" t="s">
        <v>92</v>
      </c>
      <c r="D20" s="101"/>
      <c r="F20" s="38"/>
    </row>
    <row r="21" spans="1:6" ht="12.5" x14ac:dyDescent="0.25">
      <c r="A21" s="72"/>
      <c r="B21" s="57"/>
      <c r="C21" s="60" t="s">
        <v>146</v>
      </c>
      <c r="D21" s="61">
        <f>D9/D7*D8</f>
        <v>2160000</v>
      </c>
      <c r="F21" s="36" t="s">
        <v>147</v>
      </c>
    </row>
    <row r="22" spans="1:6" ht="12.5" x14ac:dyDescent="0.25">
      <c r="A22" s="72"/>
      <c r="B22" s="48"/>
      <c r="C22" s="46" t="s">
        <v>109</v>
      </c>
      <c r="D22" s="62">
        <f>IF(AND(D21&lt;300000,D21&gt;0),D10+D11+D12-D13+D14,D9+D10+D11+D12-D13+D14)</f>
        <v>1650000</v>
      </c>
      <c r="F22" s="1"/>
    </row>
    <row r="23" spans="1:6" ht="12.5" x14ac:dyDescent="0.25">
      <c r="A23" s="72"/>
      <c r="B23" s="48" t="s">
        <v>5</v>
      </c>
      <c r="C23" s="46" t="s">
        <v>6</v>
      </c>
      <c r="D23" s="74">
        <v>0.8</v>
      </c>
      <c r="F23" s="1"/>
    </row>
    <row r="24" spans="1:6" ht="12.5" x14ac:dyDescent="0.25">
      <c r="A24" s="72"/>
      <c r="B24" s="48" t="s">
        <v>1</v>
      </c>
      <c r="C24" s="46" t="s">
        <v>118</v>
      </c>
      <c r="D24" s="99">
        <f>ROUND(D22*D23,0)</f>
        <v>1320000</v>
      </c>
      <c r="F24" s="1"/>
    </row>
    <row r="25" spans="1:6" ht="12.5" x14ac:dyDescent="0.25">
      <c r="A25" s="72"/>
      <c r="B25" s="48" t="s">
        <v>5</v>
      </c>
      <c r="C25" s="46" t="s">
        <v>6</v>
      </c>
      <c r="D25" s="66">
        <f>D6</f>
        <v>1.4999999999999999E-2</v>
      </c>
      <c r="F25" s="1"/>
    </row>
    <row r="26" spans="1:6" ht="12.5" x14ac:dyDescent="0.25">
      <c r="A26" s="72"/>
      <c r="B26" s="48" t="s">
        <v>1</v>
      </c>
      <c r="C26" s="46" t="s">
        <v>132</v>
      </c>
      <c r="D26" s="62">
        <f>ROUND(D24*D25,0)</f>
        <v>19800</v>
      </c>
      <c r="F26" s="1"/>
    </row>
    <row r="27" spans="1:6" ht="12.5" x14ac:dyDescent="0.25">
      <c r="A27" s="72"/>
      <c r="B27" s="48" t="s">
        <v>4</v>
      </c>
      <c r="C27" s="46" t="s">
        <v>131</v>
      </c>
      <c r="D27" s="93">
        <f>D15</f>
        <v>0</v>
      </c>
      <c r="F27" s="1"/>
    </row>
    <row r="28" spans="1:6" ht="13" thickBot="1" x14ac:dyDescent="0.3">
      <c r="A28" s="72"/>
      <c r="B28" s="48" t="s">
        <v>1</v>
      </c>
      <c r="C28" s="70" t="s">
        <v>56</v>
      </c>
      <c r="D28" s="71">
        <f>D26-D27</f>
        <v>19800</v>
      </c>
      <c r="F28" s="1"/>
    </row>
    <row r="29" spans="1:6" ht="12" thickTop="1" x14ac:dyDescent="0.25">
      <c r="F29" s="1"/>
    </row>
    <row r="30" spans="1:6" x14ac:dyDescent="0.25"/>
    <row r="31" spans="1:6" x14ac:dyDescent="0.25">
      <c r="B31" s="40" t="s">
        <v>8</v>
      </c>
      <c r="C31" s="38"/>
      <c r="D31" s="41"/>
      <c r="E31" s="38"/>
      <c r="F31" s="36"/>
    </row>
    <row r="32" spans="1:6" ht="22.25" customHeight="1" x14ac:dyDescent="0.2">
      <c r="B32" s="42" t="s">
        <v>9</v>
      </c>
      <c r="C32" s="42"/>
      <c r="D32" s="42"/>
      <c r="E32" s="42"/>
      <c r="F32" s="42"/>
    </row>
    <row r="33" spans="2:6" x14ac:dyDescent="0.25">
      <c r="B33" s="40" t="s">
        <v>10</v>
      </c>
      <c r="C33" s="38"/>
      <c r="D33" s="41"/>
      <c r="E33" s="38"/>
      <c r="F33" s="36"/>
    </row>
    <row r="34" spans="2:6" x14ac:dyDescent="0.25">
      <c r="B34" s="40" t="s">
        <v>155</v>
      </c>
      <c r="C34" s="38"/>
      <c r="D34" s="41"/>
      <c r="E34" s="38"/>
      <c r="F34" s="36"/>
    </row>
    <row r="35" spans="2:6" x14ac:dyDescent="0.25">
      <c r="B35" s="40" t="s">
        <v>11</v>
      </c>
      <c r="C35" s="38"/>
      <c r="D35" s="41"/>
      <c r="E35" s="38"/>
      <c r="F35" s="36"/>
    </row>
    <row r="36" spans="2:6" x14ac:dyDescent="0.25">
      <c r="B36" s="102"/>
      <c r="C36" s="35"/>
      <c r="D36" s="103"/>
      <c r="E36" s="35"/>
      <c r="F36" s="34"/>
    </row>
    <row r="48" spans="2:6" s="5" customFormat="1" hidden="1" x14ac:dyDescent="0.25">
      <c r="C48" s="1"/>
      <c r="D48" s="6"/>
      <c r="E48" s="1"/>
      <c r="F48" s="2"/>
    </row>
    <row r="49" spans="3:6" s="5" customFormat="1" hidden="1" x14ac:dyDescent="0.25">
      <c r="C49" s="1"/>
      <c r="D49" s="6"/>
      <c r="E49" s="1"/>
      <c r="F49" s="2"/>
    </row>
    <row r="50" spans="3:6" s="5" customFormat="1" hidden="1" x14ac:dyDescent="0.25">
      <c r="C50" s="1"/>
      <c r="D50" s="6"/>
      <c r="E50" s="1"/>
      <c r="F50" s="2"/>
    </row>
    <row r="51" spans="3:6" s="5" customFormat="1" hidden="1" x14ac:dyDescent="0.25">
      <c r="C51" s="1"/>
      <c r="D51" s="6"/>
      <c r="E51" s="1"/>
      <c r="F51" s="2"/>
    </row>
    <row r="52" spans="3:6" s="5" customFormat="1" hidden="1" x14ac:dyDescent="0.25">
      <c r="C52" s="1"/>
      <c r="D52" s="6"/>
      <c r="E52" s="1"/>
      <c r="F52" s="2"/>
    </row>
    <row r="53" spans="3:6" s="5" customFormat="1" hidden="1" x14ac:dyDescent="0.25">
      <c r="C53" s="1"/>
      <c r="D53" s="6"/>
      <c r="E53" s="1"/>
      <c r="F53" s="2"/>
    </row>
  </sheetData>
  <sheetProtection algorithmName="SHA-512" hashValue="FHMwJvmvvqdalS3CKQ0aRxjGG5H3NCOnsKI3qKCib4Hb9lAjVDWVgLhCjqKk64G4/d5P4YUS0Q+UZXoeeA6J8w==" saltValue="oxLYQOwlx7ZzFNYGXSEg7w==" spinCount="100000" sheet="1" objects="1" selectLockedCells="1"/>
  <mergeCells count="3">
    <mergeCell ref="B2:D2"/>
    <mergeCell ref="B32:F32"/>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37"/>
  <sheetViews>
    <sheetView showGridLines="0" showRowColHeaders="0" zoomScaleNormal="100" workbookViewId="0">
      <selection activeCell="B23" sqref="B23:B24"/>
    </sheetView>
  </sheetViews>
  <sheetFormatPr defaultColWidth="0" defaultRowHeight="10.25" customHeight="1" zeroHeight="1" x14ac:dyDescent="0.2"/>
  <cols>
    <col min="1" max="1" width="1.453125" style="12" customWidth="1"/>
    <col min="2" max="2" width="2.453125" style="12" customWidth="1"/>
    <col min="3" max="3" width="17.08984375" style="12" bestFit="1" customWidth="1"/>
    <col min="4" max="4" width="14.90625" style="12" customWidth="1"/>
    <col min="5" max="5" width="9.90625" style="12" bestFit="1" customWidth="1"/>
    <col min="6" max="6" width="8.453125" style="12" customWidth="1"/>
    <col min="7" max="12" width="0" style="12" hidden="1" customWidth="1"/>
    <col min="13" max="16384" width="40" style="12" hidden="1"/>
  </cols>
  <sheetData>
    <row r="1" spans="2:5" ht="10" x14ac:dyDescent="0.2"/>
    <row r="2" spans="2:5" ht="10" x14ac:dyDescent="0.2"/>
    <row r="3" spans="2:5" ht="10" x14ac:dyDescent="0.2"/>
    <row r="4" spans="2:5" ht="19" customHeight="1" x14ac:dyDescent="0.2"/>
    <row r="5" spans="2:5" s="13" customFormat="1" ht="23" x14ac:dyDescent="0.25">
      <c r="B5" s="107"/>
      <c r="C5" s="108" t="s">
        <v>35</v>
      </c>
      <c r="D5" s="109"/>
      <c r="E5" s="110" t="s">
        <v>13</v>
      </c>
    </row>
    <row r="6" spans="2:5" ht="11.5" x14ac:dyDescent="0.25">
      <c r="B6" s="111"/>
      <c r="C6" s="112" t="s">
        <v>36</v>
      </c>
      <c r="D6" s="113"/>
      <c r="E6" s="114">
        <v>1</v>
      </c>
    </row>
    <row r="7" spans="2:5" ht="11.5" x14ac:dyDescent="0.25">
      <c r="B7" s="111"/>
      <c r="C7" s="115" t="s">
        <v>37</v>
      </c>
      <c r="D7" s="116"/>
      <c r="E7" s="114">
        <v>2</v>
      </c>
    </row>
    <row r="8" spans="2:5" ht="11.5" x14ac:dyDescent="0.25">
      <c r="B8" s="111"/>
      <c r="C8" s="115" t="s">
        <v>38</v>
      </c>
      <c r="D8" s="116"/>
      <c r="E8" s="114">
        <v>2</v>
      </c>
    </row>
    <row r="9" spans="2:5" ht="11.5" x14ac:dyDescent="0.25">
      <c r="B9" s="111"/>
      <c r="C9" s="115" t="s">
        <v>39</v>
      </c>
      <c r="D9" s="116"/>
      <c r="E9" s="114">
        <v>2.5</v>
      </c>
    </row>
    <row r="10" spans="2:5" ht="11.5" x14ac:dyDescent="0.25">
      <c r="B10" s="111"/>
      <c r="C10" s="115" t="s">
        <v>40</v>
      </c>
      <c r="D10" s="116"/>
      <c r="E10" s="114">
        <v>2.5</v>
      </c>
    </row>
    <row r="11" spans="2:5" ht="11.5" x14ac:dyDescent="0.25">
      <c r="B11" s="111"/>
      <c r="C11" s="115" t="s">
        <v>41</v>
      </c>
      <c r="D11" s="116"/>
      <c r="E11" s="114">
        <v>3</v>
      </c>
    </row>
    <row r="12" spans="2:5" ht="11.5" x14ac:dyDescent="0.25">
      <c r="B12" s="111"/>
      <c r="C12" s="115" t="s">
        <v>42</v>
      </c>
      <c r="D12" s="116"/>
      <c r="E12" s="114">
        <v>3</v>
      </c>
    </row>
    <row r="13" spans="2:5" ht="11.5" x14ac:dyDescent="0.25">
      <c r="B13" s="111"/>
      <c r="C13" s="115" t="s">
        <v>43</v>
      </c>
      <c r="D13" s="116"/>
      <c r="E13" s="114">
        <v>3.5</v>
      </c>
    </row>
    <row r="14" spans="2:5" ht="11.5" x14ac:dyDescent="0.25">
      <c r="B14" s="111"/>
      <c r="C14" s="117" t="s">
        <v>45</v>
      </c>
      <c r="D14" s="118"/>
      <c r="E14" s="114">
        <v>3.5</v>
      </c>
    </row>
    <row r="15" spans="2:5" ht="11.5" x14ac:dyDescent="0.25">
      <c r="B15" s="111"/>
      <c r="C15" s="115" t="s">
        <v>44</v>
      </c>
      <c r="D15" s="116"/>
      <c r="E15" s="114"/>
    </row>
    <row r="16" spans="2:5" ht="11.5" x14ac:dyDescent="0.25">
      <c r="B16" s="111"/>
      <c r="C16" s="111"/>
      <c r="D16" s="111"/>
      <c r="E16" s="111"/>
    </row>
    <row r="17" spans="2:5" ht="11.5" x14ac:dyDescent="0.25">
      <c r="B17" s="111"/>
      <c r="C17" s="123" t="s">
        <v>46</v>
      </c>
      <c r="D17" s="111"/>
      <c r="E17" s="111"/>
    </row>
    <row r="18" spans="2:5" ht="23" x14ac:dyDescent="0.25">
      <c r="B18" s="111"/>
      <c r="C18" s="119" t="s">
        <v>35</v>
      </c>
      <c r="D18" s="119"/>
      <c r="E18" s="110" t="s">
        <v>13</v>
      </c>
    </row>
    <row r="19" spans="2:5" ht="21" customHeight="1" x14ac:dyDescent="0.25">
      <c r="B19" s="111"/>
      <c r="C19" s="120" t="s">
        <v>47</v>
      </c>
      <c r="D19" s="120"/>
      <c r="E19" s="83">
        <v>1</v>
      </c>
    </row>
    <row r="20" spans="2:5" ht="30.65" customHeight="1" x14ac:dyDescent="0.25">
      <c r="B20" s="111"/>
      <c r="C20" s="121" t="s">
        <v>48</v>
      </c>
      <c r="D20" s="121"/>
      <c r="E20" s="83">
        <v>2</v>
      </c>
    </row>
    <row r="21" spans="2:5" ht="10.25" customHeight="1" x14ac:dyDescent="0.25">
      <c r="B21" s="111"/>
      <c r="C21" s="122" t="s">
        <v>49</v>
      </c>
      <c r="D21" s="122"/>
      <c r="E21" s="83">
        <v>0.5</v>
      </c>
    </row>
    <row r="22" spans="2:5" ht="10.25" customHeight="1" x14ac:dyDescent="0.25">
      <c r="B22" s="111"/>
      <c r="C22" s="111"/>
      <c r="D22" s="111"/>
      <c r="E22" s="111"/>
    </row>
    <row r="23" spans="2:5" ht="10.25" customHeight="1" x14ac:dyDescent="0.25">
      <c r="B23" s="123" t="s">
        <v>20</v>
      </c>
      <c r="C23" s="111" t="s">
        <v>94</v>
      </c>
      <c r="D23" s="111"/>
      <c r="E23" s="111"/>
    </row>
    <row r="24" spans="2:5" ht="10.25" customHeight="1" x14ac:dyDescent="0.25">
      <c r="B24" s="123" t="s">
        <v>95</v>
      </c>
      <c r="C24" s="111" t="s">
        <v>96</v>
      </c>
      <c r="D24" s="111"/>
      <c r="E24" s="111"/>
    </row>
    <row r="25" spans="2:5" ht="10.25" customHeight="1" x14ac:dyDescent="0.2"/>
    <row r="33" s="12" customFormat="1" ht="10.25" hidden="1" customHeight="1" x14ac:dyDescent="0.2"/>
    <row r="34" s="12" customFormat="1" ht="10.25" hidden="1" customHeight="1" x14ac:dyDescent="0.2"/>
    <row r="35" s="12" customFormat="1" ht="10.25" hidden="1" customHeight="1" x14ac:dyDescent="0.2"/>
    <row r="36" s="12" customFormat="1" ht="10.25" hidden="1" customHeight="1" x14ac:dyDescent="0.2"/>
    <row r="37" s="12" customFormat="1" ht="10.25" hidden="1" customHeight="1" x14ac:dyDescent="0.2"/>
  </sheetData>
  <sheetProtection algorithmName="SHA-512" hashValue="bqkjD4jvNpsVQPo97T9YW6sehHNk4UEdCkSNkcECJAUYVLpnGRIQoLhYB59Sb9as8stYQrE31sFCG/hlbIqGHg==" saltValue="5BF8sZYod8eT/obnMvKX8A==" spinCount="100000" sheet="1" objects="1" selectLockedCells="1"/>
  <mergeCells count="14">
    <mergeCell ref="C10:D10"/>
    <mergeCell ref="C5:D5"/>
    <mergeCell ref="C6:D6"/>
    <mergeCell ref="C7:D7"/>
    <mergeCell ref="C8:D8"/>
    <mergeCell ref="C9:D9"/>
    <mergeCell ref="C20:D20"/>
    <mergeCell ref="C21:D21"/>
    <mergeCell ref="C11:D11"/>
    <mergeCell ref="C12:D12"/>
    <mergeCell ref="C15:D15"/>
    <mergeCell ref="C13:D13"/>
    <mergeCell ref="C18:D18"/>
    <mergeCell ref="C19:D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B1:H46"/>
  <sheetViews>
    <sheetView showGridLines="0" showRowColHeaders="0" workbookViewId="0">
      <selection activeCell="A47" sqref="A47:XFD1048576"/>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4.5" thickBot="1" x14ac:dyDescent="0.35">
      <c r="B5" s="124" t="s">
        <v>59</v>
      </c>
      <c r="C5" s="125"/>
      <c r="D5" s="125"/>
      <c r="E5" s="125"/>
      <c r="F5" s="125"/>
      <c r="G5" s="125"/>
      <c r="H5" s="126"/>
    </row>
    <row r="6" spans="2:8" ht="13" thickBot="1" x14ac:dyDescent="0.3">
      <c r="B6" s="127" t="s">
        <v>57</v>
      </c>
      <c r="C6" s="128"/>
      <c r="D6" s="128"/>
      <c r="E6" s="128"/>
      <c r="F6" s="128"/>
      <c r="G6" s="128"/>
      <c r="H6" s="129"/>
    </row>
    <row r="7" spans="2:8" x14ac:dyDescent="0.25">
      <c r="B7" s="130" t="s">
        <v>12</v>
      </c>
      <c r="C7" s="131"/>
      <c r="D7" s="132" t="s">
        <v>71</v>
      </c>
      <c r="E7" s="133"/>
      <c r="F7" s="133"/>
      <c r="G7" s="133"/>
      <c r="H7" s="134"/>
    </row>
    <row r="8" spans="2:8" x14ac:dyDescent="0.25">
      <c r="B8" s="135" t="s">
        <v>64</v>
      </c>
      <c r="C8" s="136" t="s">
        <v>65</v>
      </c>
      <c r="D8" s="136" t="s">
        <v>67</v>
      </c>
      <c r="E8" s="136" t="s">
        <v>4</v>
      </c>
      <c r="F8" s="136" t="s">
        <v>34</v>
      </c>
      <c r="G8" s="136" t="s">
        <v>5</v>
      </c>
      <c r="H8" s="137" t="s">
        <v>68</v>
      </c>
    </row>
    <row r="9" spans="2:8" x14ac:dyDescent="0.25">
      <c r="B9" s="138">
        <v>0</v>
      </c>
      <c r="C9" s="139">
        <v>300000</v>
      </c>
      <c r="D9" s="140">
        <v>0</v>
      </c>
      <c r="E9" s="141" t="s">
        <v>4</v>
      </c>
      <c r="F9" s="139">
        <v>0</v>
      </c>
      <c r="G9" s="142" t="s">
        <v>5</v>
      </c>
      <c r="H9" s="143" t="s">
        <v>15</v>
      </c>
    </row>
    <row r="10" spans="2:8" x14ac:dyDescent="0.25">
      <c r="B10" s="138">
        <v>300000</v>
      </c>
      <c r="C10" s="144">
        <v>547000</v>
      </c>
      <c r="D10" s="140" t="s">
        <v>72</v>
      </c>
      <c r="E10" s="141" t="s">
        <v>4</v>
      </c>
      <c r="F10" s="139">
        <v>27273</v>
      </c>
      <c r="G10" s="142" t="s">
        <v>5</v>
      </c>
      <c r="H10" s="143" t="s">
        <v>15</v>
      </c>
    </row>
    <row r="11" spans="2:8" x14ac:dyDescent="0.25">
      <c r="B11" s="138">
        <v>547000</v>
      </c>
      <c r="C11" s="144">
        <v>979000</v>
      </c>
      <c r="D11" s="140" t="s">
        <v>73</v>
      </c>
      <c r="E11" s="141" t="s">
        <v>4</v>
      </c>
      <c r="F11" s="139">
        <v>48913</v>
      </c>
      <c r="G11" s="142" t="s">
        <v>5</v>
      </c>
      <c r="H11" s="143" t="s">
        <v>15</v>
      </c>
    </row>
    <row r="12" spans="2:8" x14ac:dyDescent="0.25">
      <c r="B12" s="138">
        <v>979000</v>
      </c>
      <c r="C12" s="144">
        <v>1519000</v>
      </c>
      <c r="D12" s="140" t="s">
        <v>74</v>
      </c>
      <c r="E12" s="141" t="s">
        <v>4</v>
      </c>
      <c r="F12" s="139">
        <v>84375</v>
      </c>
      <c r="G12" s="142" t="s">
        <v>5</v>
      </c>
      <c r="H12" s="143" t="s">
        <v>15</v>
      </c>
    </row>
    <row r="13" spans="2:8" x14ac:dyDescent="0.25">
      <c r="B13" s="138">
        <v>1519000</v>
      </c>
      <c r="C13" s="144">
        <v>2644000</v>
      </c>
      <c r="D13" s="140" t="s">
        <v>75</v>
      </c>
      <c r="E13" s="141" t="s">
        <v>4</v>
      </c>
      <c r="F13" s="139">
        <v>135000</v>
      </c>
      <c r="G13" s="142" t="s">
        <v>5</v>
      </c>
      <c r="H13" s="143" t="s">
        <v>15</v>
      </c>
    </row>
    <row r="14" spans="2:8" x14ac:dyDescent="0.25">
      <c r="B14" s="138">
        <v>2644000</v>
      </c>
      <c r="C14" s="144">
        <v>4669000</v>
      </c>
      <c r="D14" s="140" t="s">
        <v>76</v>
      </c>
      <c r="E14" s="141" t="s">
        <v>4</v>
      </c>
      <c r="F14" s="139">
        <v>291667</v>
      </c>
      <c r="G14" s="142" t="s">
        <v>5</v>
      </c>
      <c r="H14" s="143" t="s">
        <v>15</v>
      </c>
    </row>
    <row r="15" spans="2:8" x14ac:dyDescent="0.25">
      <c r="B15" s="138">
        <v>4669000</v>
      </c>
      <c r="C15" s="144">
        <v>10106000</v>
      </c>
      <c r="D15" s="140" t="s">
        <v>77</v>
      </c>
      <c r="E15" s="141" t="s">
        <v>4</v>
      </c>
      <c r="F15" s="139">
        <v>530172</v>
      </c>
      <c r="G15" s="142" t="s">
        <v>5</v>
      </c>
      <c r="H15" s="143" t="s">
        <v>15</v>
      </c>
    </row>
    <row r="16" spans="2:8" x14ac:dyDescent="0.25">
      <c r="B16" s="138">
        <v>10106000</v>
      </c>
      <c r="C16" s="144"/>
      <c r="D16" s="140" t="s">
        <v>78</v>
      </c>
      <c r="E16" s="141" t="s">
        <v>4</v>
      </c>
      <c r="F16" s="139">
        <v>1183594</v>
      </c>
      <c r="G16" s="142" t="s">
        <v>5</v>
      </c>
      <c r="H16" s="143" t="s">
        <v>15</v>
      </c>
    </row>
    <row r="17" spans="2:8" ht="13" thickBot="1" x14ac:dyDescent="0.3">
      <c r="B17" s="145"/>
      <c r="C17" s="146"/>
      <c r="D17" s="146"/>
      <c r="E17" s="146"/>
      <c r="F17" s="146"/>
      <c r="G17" s="146"/>
      <c r="H17" s="147"/>
    </row>
    <row r="18" spans="2:8" ht="13" thickBot="1" x14ac:dyDescent="0.3">
      <c r="B18" s="127" t="s">
        <v>58</v>
      </c>
      <c r="C18" s="128"/>
      <c r="D18" s="128"/>
      <c r="E18" s="128"/>
      <c r="F18" s="128"/>
      <c r="G18" s="128"/>
      <c r="H18" s="129"/>
    </row>
    <row r="19" spans="2:8" x14ac:dyDescent="0.25">
      <c r="B19" s="130" t="s">
        <v>12</v>
      </c>
      <c r="C19" s="131"/>
      <c r="D19" s="132" t="s">
        <v>71</v>
      </c>
      <c r="E19" s="133"/>
      <c r="F19" s="133"/>
      <c r="G19" s="133"/>
      <c r="H19" s="134"/>
    </row>
    <row r="20" spans="2:8" x14ac:dyDescent="0.25">
      <c r="B20" s="135" t="s">
        <v>64</v>
      </c>
      <c r="C20" s="136" t="s">
        <v>65</v>
      </c>
      <c r="D20" s="136" t="s">
        <v>67</v>
      </c>
      <c r="E20" s="136" t="s">
        <v>4</v>
      </c>
      <c r="F20" s="136" t="s">
        <v>34</v>
      </c>
      <c r="G20" s="136" t="s">
        <v>5</v>
      </c>
      <c r="H20" s="137" t="s">
        <v>68</v>
      </c>
    </row>
    <row r="21" spans="2:8" x14ac:dyDescent="0.25">
      <c r="B21" s="138">
        <v>0</v>
      </c>
      <c r="C21" s="139">
        <v>25000</v>
      </c>
      <c r="D21" s="140">
        <v>0</v>
      </c>
      <c r="E21" s="141" t="s">
        <v>4</v>
      </c>
      <c r="F21" s="106">
        <v>0</v>
      </c>
      <c r="G21" s="142" t="s">
        <v>5</v>
      </c>
      <c r="H21" s="143" t="s">
        <v>15</v>
      </c>
    </row>
    <row r="22" spans="2:8" x14ac:dyDescent="0.25">
      <c r="B22" s="138">
        <v>25000</v>
      </c>
      <c r="C22" s="144">
        <v>45583</v>
      </c>
      <c r="D22" s="140" t="s">
        <v>72</v>
      </c>
      <c r="E22" s="141" t="s">
        <v>4</v>
      </c>
      <c r="F22" s="139">
        <v>2273</v>
      </c>
      <c r="G22" s="142" t="s">
        <v>5</v>
      </c>
      <c r="H22" s="143" t="s">
        <v>15</v>
      </c>
    </row>
    <row r="23" spans="2:8" x14ac:dyDescent="0.25">
      <c r="B23" s="138">
        <v>45583</v>
      </c>
      <c r="C23" s="144">
        <v>81583</v>
      </c>
      <c r="D23" s="140" t="s">
        <v>73</v>
      </c>
      <c r="E23" s="141" t="s">
        <v>4</v>
      </c>
      <c r="F23" s="139">
        <v>4076</v>
      </c>
      <c r="G23" s="142" t="s">
        <v>5</v>
      </c>
      <c r="H23" s="143" t="s">
        <v>15</v>
      </c>
    </row>
    <row r="24" spans="2:8" x14ac:dyDescent="0.25">
      <c r="B24" s="138">
        <v>81583</v>
      </c>
      <c r="C24" s="144">
        <v>126583</v>
      </c>
      <c r="D24" s="140" t="s">
        <v>74</v>
      </c>
      <c r="E24" s="141" t="s">
        <v>4</v>
      </c>
      <c r="F24" s="139">
        <v>7031</v>
      </c>
      <c r="G24" s="142" t="s">
        <v>5</v>
      </c>
      <c r="H24" s="143" t="s">
        <v>15</v>
      </c>
    </row>
    <row r="25" spans="2:8" x14ac:dyDescent="0.25">
      <c r="B25" s="138">
        <v>126583</v>
      </c>
      <c r="C25" s="144">
        <v>220333</v>
      </c>
      <c r="D25" s="140" t="s">
        <v>75</v>
      </c>
      <c r="E25" s="141" t="s">
        <v>4</v>
      </c>
      <c r="F25" s="139">
        <v>11250</v>
      </c>
      <c r="G25" s="142" t="s">
        <v>5</v>
      </c>
      <c r="H25" s="143" t="s">
        <v>15</v>
      </c>
    </row>
    <row r="26" spans="2:8" x14ac:dyDescent="0.25">
      <c r="B26" s="138">
        <v>220333</v>
      </c>
      <c r="C26" s="144">
        <v>389083</v>
      </c>
      <c r="D26" s="140" t="s">
        <v>76</v>
      </c>
      <c r="E26" s="141" t="s">
        <v>4</v>
      </c>
      <c r="F26" s="139">
        <v>24306</v>
      </c>
      <c r="G26" s="142" t="s">
        <v>5</v>
      </c>
      <c r="H26" s="143" t="s">
        <v>15</v>
      </c>
    </row>
    <row r="27" spans="2:8" x14ac:dyDescent="0.25">
      <c r="B27" s="138">
        <v>389083</v>
      </c>
      <c r="C27" s="144">
        <v>842166</v>
      </c>
      <c r="D27" s="140" t="s">
        <v>77</v>
      </c>
      <c r="E27" s="141" t="s">
        <v>4</v>
      </c>
      <c r="F27" s="139">
        <v>44181</v>
      </c>
      <c r="G27" s="142" t="s">
        <v>5</v>
      </c>
      <c r="H27" s="143" t="s">
        <v>15</v>
      </c>
    </row>
    <row r="28" spans="2:8" ht="13" thickBot="1" x14ac:dyDescent="0.3">
      <c r="B28" s="148">
        <v>842166</v>
      </c>
      <c r="C28" s="149"/>
      <c r="D28" s="150" t="s">
        <v>78</v>
      </c>
      <c r="E28" s="151" t="s">
        <v>4</v>
      </c>
      <c r="F28" s="152">
        <v>98633</v>
      </c>
      <c r="G28" s="153" t="s">
        <v>5</v>
      </c>
      <c r="H28" s="154" t="s">
        <v>15</v>
      </c>
    </row>
    <row r="29" spans="2:8" ht="13" thickBot="1" x14ac:dyDescent="0.3">
      <c r="B29" s="155"/>
      <c r="C29" s="156"/>
      <c r="D29" s="157"/>
      <c r="E29" s="158"/>
      <c r="F29" s="159"/>
      <c r="G29" s="160"/>
      <c r="H29" s="161"/>
    </row>
    <row r="30" spans="2:8" ht="13" thickBot="1" x14ac:dyDescent="0.3">
      <c r="B30" s="162" t="s">
        <v>60</v>
      </c>
      <c r="C30" s="163"/>
      <c r="D30" s="163"/>
      <c r="E30" s="163"/>
      <c r="F30" s="163"/>
      <c r="G30" s="164"/>
      <c r="H30" s="72"/>
    </row>
    <row r="31" spans="2:8" x14ac:dyDescent="0.25">
      <c r="B31" s="165" t="s">
        <v>70</v>
      </c>
      <c r="C31" s="166"/>
      <c r="D31" s="166"/>
      <c r="E31" s="166"/>
      <c r="F31" s="166"/>
      <c r="G31" s="167"/>
      <c r="H31" s="72"/>
    </row>
    <row r="32" spans="2:8" x14ac:dyDescent="0.25">
      <c r="B32" s="168" t="s">
        <v>61</v>
      </c>
      <c r="C32" s="169"/>
      <c r="D32" s="170" t="s">
        <v>62</v>
      </c>
      <c r="E32" s="171"/>
      <c r="F32" s="170" t="s">
        <v>63</v>
      </c>
      <c r="G32" s="172"/>
      <c r="H32" s="72"/>
    </row>
    <row r="33" spans="2:8" x14ac:dyDescent="0.25">
      <c r="B33" s="173" t="s">
        <v>64</v>
      </c>
      <c r="C33" s="174" t="s">
        <v>65</v>
      </c>
      <c r="D33" s="132"/>
      <c r="E33" s="175"/>
      <c r="F33" s="132"/>
      <c r="G33" s="134"/>
      <c r="H33" s="72"/>
    </row>
    <row r="34" spans="2:8" x14ac:dyDescent="0.25">
      <c r="B34" s="138">
        <v>0</v>
      </c>
      <c r="C34" s="176">
        <v>600000</v>
      </c>
      <c r="D34" s="177">
        <v>0</v>
      </c>
      <c r="E34" s="178"/>
      <c r="F34" s="177">
        <v>0</v>
      </c>
      <c r="G34" s="179"/>
      <c r="H34" s="72"/>
    </row>
    <row r="35" spans="2:8" x14ac:dyDescent="0.25">
      <c r="B35" s="138">
        <v>600000</v>
      </c>
      <c r="C35" s="176">
        <v>1560000</v>
      </c>
      <c r="D35" s="177">
        <v>1.5</v>
      </c>
      <c r="E35" s="178"/>
      <c r="F35" s="177">
        <v>9000</v>
      </c>
      <c r="G35" s="179"/>
      <c r="H35" s="72"/>
    </row>
    <row r="36" spans="2:8" x14ac:dyDescent="0.25">
      <c r="B36" s="138">
        <v>1560000</v>
      </c>
      <c r="C36" s="176">
        <v>2400000</v>
      </c>
      <c r="D36" s="177">
        <v>5</v>
      </c>
      <c r="E36" s="178"/>
      <c r="F36" s="177">
        <v>63600</v>
      </c>
      <c r="G36" s="179"/>
      <c r="H36" s="72"/>
    </row>
    <row r="37" spans="2:8" x14ac:dyDescent="0.25">
      <c r="B37" s="180" t="s">
        <v>91</v>
      </c>
      <c r="C37" s="178"/>
      <c r="D37" s="177">
        <v>10</v>
      </c>
      <c r="E37" s="178"/>
      <c r="F37" s="177">
        <v>183600</v>
      </c>
      <c r="G37" s="179"/>
      <c r="H37" s="72"/>
    </row>
    <row r="38" spans="2:8" ht="13" thickBot="1" x14ac:dyDescent="0.3">
      <c r="B38" s="145"/>
      <c r="C38" s="146"/>
      <c r="D38" s="146"/>
      <c r="E38" s="146"/>
      <c r="F38" s="146"/>
      <c r="G38" s="147"/>
      <c r="H38" s="72"/>
    </row>
    <row r="39" spans="2:8" x14ac:dyDescent="0.25">
      <c r="B39" s="165" t="s">
        <v>69</v>
      </c>
      <c r="C39" s="166"/>
      <c r="D39" s="166"/>
      <c r="E39" s="166"/>
      <c r="F39" s="166"/>
      <c r="G39" s="167"/>
      <c r="H39" s="72"/>
    </row>
    <row r="40" spans="2:8" x14ac:dyDescent="0.25">
      <c r="B40" s="181" t="s">
        <v>61</v>
      </c>
      <c r="C40" s="182"/>
      <c r="D40" s="170" t="s">
        <v>62</v>
      </c>
      <c r="E40" s="171"/>
      <c r="F40" s="170" t="s">
        <v>63</v>
      </c>
      <c r="G40" s="172"/>
      <c r="H40" s="72"/>
    </row>
    <row r="41" spans="2:8" x14ac:dyDescent="0.25">
      <c r="B41" s="173" t="s">
        <v>64</v>
      </c>
      <c r="C41" s="174" t="s">
        <v>65</v>
      </c>
      <c r="D41" s="132"/>
      <c r="E41" s="175"/>
      <c r="F41" s="132"/>
      <c r="G41" s="134"/>
      <c r="H41" s="72"/>
    </row>
    <row r="42" spans="2:8" x14ac:dyDescent="0.25">
      <c r="B42" s="138">
        <v>0</v>
      </c>
      <c r="C42" s="176">
        <f>C34/12</f>
        <v>50000</v>
      </c>
      <c r="D42" s="177">
        <v>0</v>
      </c>
      <c r="E42" s="178"/>
      <c r="F42" s="177">
        <v>0</v>
      </c>
      <c r="G42" s="179"/>
      <c r="H42" s="72"/>
    </row>
    <row r="43" spans="2:8" x14ac:dyDescent="0.25">
      <c r="B43" s="138">
        <f>B35/12</f>
        <v>50000</v>
      </c>
      <c r="C43" s="176">
        <f>C35/12</f>
        <v>130000</v>
      </c>
      <c r="D43" s="177">
        <v>1.5</v>
      </c>
      <c r="E43" s="178"/>
      <c r="F43" s="177">
        <f>F35/12</f>
        <v>750</v>
      </c>
      <c r="G43" s="179"/>
      <c r="H43" s="72"/>
    </row>
    <row r="44" spans="2:8" x14ac:dyDescent="0.25">
      <c r="B44" s="138">
        <f>B36/12</f>
        <v>130000</v>
      </c>
      <c r="C44" s="176">
        <f>C36/12</f>
        <v>200000</v>
      </c>
      <c r="D44" s="177">
        <v>5</v>
      </c>
      <c r="E44" s="178"/>
      <c r="F44" s="177">
        <f>F36/12</f>
        <v>5300</v>
      </c>
      <c r="G44" s="179"/>
      <c r="H44" s="72"/>
    </row>
    <row r="45" spans="2:8" ht="13" thickBot="1" x14ac:dyDescent="0.3">
      <c r="B45" s="183" t="s">
        <v>66</v>
      </c>
      <c r="C45" s="184"/>
      <c r="D45" s="185">
        <v>10</v>
      </c>
      <c r="E45" s="184"/>
      <c r="F45" s="185">
        <f>F37/12</f>
        <v>15300</v>
      </c>
      <c r="G45" s="186"/>
      <c r="H45" s="72"/>
    </row>
    <row r="46" spans="2:8" x14ac:dyDescent="0.25">
      <c r="B46" s="72"/>
      <c r="C46" s="72"/>
      <c r="D46" s="72"/>
      <c r="E46" s="72"/>
      <c r="F46" s="72"/>
      <c r="G46" s="72"/>
      <c r="H46" s="72"/>
    </row>
  </sheetData>
  <sheetProtection algorithmName="SHA-512" hashValue="jht+owQ/HZtC1FcLVv+8w/YzjHRATbLxeqqaYibFLCOVSAUAApAn4/4tkK9nM+zD2HJ99l/+Qy48T/EWm2j7Ew==" saltValue="ovmsV9pXLCNmp4jTtK6KDw==" spinCount="100000" sheet="1" objects="1" scenarios="1"/>
  <mergeCells count="36">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 ref="F36:G36"/>
    <mergeCell ref="F37:G37"/>
    <mergeCell ref="B5:H5"/>
    <mergeCell ref="D7:H7"/>
    <mergeCell ref="B19:C19"/>
    <mergeCell ref="D19:H19"/>
    <mergeCell ref="B37:C37"/>
    <mergeCell ref="B30:G30"/>
    <mergeCell ref="B31:G31"/>
    <mergeCell ref="B32:C32"/>
    <mergeCell ref="B6:H6"/>
    <mergeCell ref="B7:C7"/>
    <mergeCell ref="B18:H18"/>
    <mergeCell ref="B39:G39"/>
    <mergeCell ref="B40:C40"/>
    <mergeCell ref="B45:C45"/>
    <mergeCell ref="D40:E41"/>
    <mergeCell ref="F40:G41"/>
    <mergeCell ref="D42:E42"/>
    <mergeCell ref="D43:E4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B3" sqref="B3"/>
    </sheetView>
  </sheetViews>
  <sheetFormatPr defaultRowHeight="12.5" x14ac:dyDescent="0.25"/>
  <cols>
    <col min="1" max="1" width="9.90625" bestFit="1" customWidth="1"/>
    <col min="2" max="2" width="9.08984375" bestFit="1" customWidth="1"/>
    <col min="3" max="3" width="15.1796875" customWidth="1"/>
    <col min="4" max="4" width="9" bestFit="1" customWidth="1"/>
  </cols>
  <sheetData>
    <row r="1" spans="1:8" x14ac:dyDescent="0.25">
      <c r="A1" s="11" t="s">
        <v>14</v>
      </c>
      <c r="B1" s="23">
        <v>1.4999999999999999E-2</v>
      </c>
    </row>
    <row r="2" spans="1:8" x14ac:dyDescent="0.25">
      <c r="A2" s="11" t="s">
        <v>15</v>
      </c>
      <c r="B2" s="23">
        <v>7.4999999999999997E-3</v>
      </c>
    </row>
    <row r="4" spans="1:8" x14ac:dyDescent="0.25">
      <c r="A4" s="24" t="s">
        <v>80</v>
      </c>
      <c r="B4" s="25"/>
      <c r="C4" s="25"/>
    </row>
    <row r="5" spans="1:8" ht="21" x14ac:dyDescent="0.25">
      <c r="A5" s="14" t="s">
        <v>12</v>
      </c>
      <c r="B5" s="14" t="s">
        <v>34</v>
      </c>
      <c r="C5" s="14" t="s">
        <v>33</v>
      </c>
    </row>
    <row r="6" spans="1:8" x14ac:dyDescent="0.25">
      <c r="A6" s="19">
        <v>0</v>
      </c>
      <c r="B6" s="19">
        <v>0</v>
      </c>
      <c r="C6" s="19">
        <v>0</v>
      </c>
    </row>
    <row r="7" spans="1:8" x14ac:dyDescent="0.25">
      <c r="A7" s="20">
        <v>600000.01</v>
      </c>
      <c r="B7" s="19">
        <v>1.5</v>
      </c>
      <c r="C7" s="19">
        <v>9000</v>
      </c>
    </row>
    <row r="8" spans="1:8" x14ac:dyDescent="0.25">
      <c r="A8" s="20">
        <v>1560000.01</v>
      </c>
      <c r="B8" s="19">
        <v>5</v>
      </c>
      <c r="C8" s="19">
        <v>63600</v>
      </c>
    </row>
    <row r="9" spans="1:8" x14ac:dyDescent="0.25">
      <c r="A9" s="20">
        <v>2400000.0099999998</v>
      </c>
      <c r="B9" s="19">
        <v>10</v>
      </c>
      <c r="C9" s="19">
        <v>183600</v>
      </c>
    </row>
    <row r="10" spans="1:8" x14ac:dyDescent="0.25">
      <c r="H10" s="12"/>
    </row>
    <row r="11" spans="1:8" x14ac:dyDescent="0.25">
      <c r="A11" s="24" t="s">
        <v>81</v>
      </c>
      <c r="B11" s="25"/>
      <c r="C11" s="26"/>
      <c r="H11" s="13"/>
    </row>
    <row r="12" spans="1:8" ht="21" x14ac:dyDescent="0.25">
      <c r="A12" s="14" t="s">
        <v>12</v>
      </c>
      <c r="B12" s="14" t="s">
        <v>34</v>
      </c>
      <c r="C12" s="14" t="s">
        <v>29</v>
      </c>
      <c r="D12" s="18" t="s">
        <v>86</v>
      </c>
      <c r="H12" s="12"/>
    </row>
    <row r="13" spans="1:8" x14ac:dyDescent="0.25">
      <c r="A13" s="19">
        <v>0</v>
      </c>
      <c r="B13" s="19">
        <v>0</v>
      </c>
      <c r="C13" s="19">
        <v>0</v>
      </c>
      <c r="D13" s="22"/>
      <c r="H13" s="12"/>
    </row>
    <row r="14" spans="1:8" x14ac:dyDescent="0.25">
      <c r="A14" s="20">
        <v>300000.01</v>
      </c>
      <c r="B14" s="19">
        <v>27273</v>
      </c>
      <c r="C14" s="19">
        <v>10</v>
      </c>
      <c r="D14" s="21">
        <v>110</v>
      </c>
      <c r="H14" s="12"/>
    </row>
    <row r="15" spans="1:8" x14ac:dyDescent="0.25">
      <c r="A15" s="20">
        <v>547000.01</v>
      </c>
      <c r="B15" s="19">
        <v>48913</v>
      </c>
      <c r="C15" s="19">
        <v>15</v>
      </c>
      <c r="D15" s="21">
        <v>115</v>
      </c>
      <c r="H15" s="12"/>
    </row>
    <row r="16" spans="1:8" x14ac:dyDescent="0.25">
      <c r="A16" s="20">
        <v>979000.01</v>
      </c>
      <c r="B16" s="19">
        <v>84375</v>
      </c>
      <c r="C16" s="19">
        <v>20</v>
      </c>
      <c r="D16" s="21">
        <v>120</v>
      </c>
      <c r="H16" s="12"/>
    </row>
    <row r="17" spans="1:9" x14ac:dyDescent="0.25">
      <c r="A17" s="20">
        <v>1519000.01</v>
      </c>
      <c r="B17" s="19">
        <v>135000</v>
      </c>
      <c r="C17" s="19">
        <v>25</v>
      </c>
      <c r="D17" s="21">
        <v>125</v>
      </c>
      <c r="H17" s="12"/>
    </row>
    <row r="18" spans="1:9" x14ac:dyDescent="0.25">
      <c r="A18" s="20">
        <v>2644000.0099999998</v>
      </c>
      <c r="B18" s="19">
        <v>291667</v>
      </c>
      <c r="C18" s="19">
        <v>35</v>
      </c>
      <c r="D18" s="21">
        <v>135</v>
      </c>
      <c r="H18" s="12"/>
    </row>
    <row r="19" spans="1:9" x14ac:dyDescent="0.25">
      <c r="A19" s="20">
        <v>4669000.01</v>
      </c>
      <c r="B19" s="19">
        <v>530172</v>
      </c>
      <c r="C19" s="19">
        <v>45</v>
      </c>
      <c r="D19" s="21">
        <v>145</v>
      </c>
      <c r="H19" s="12"/>
    </row>
    <row r="20" spans="1:9" x14ac:dyDescent="0.25">
      <c r="A20" s="20">
        <v>10106000.01</v>
      </c>
      <c r="B20" s="19">
        <v>1183594</v>
      </c>
      <c r="C20" s="19">
        <v>60</v>
      </c>
      <c r="D20" s="21">
        <v>160</v>
      </c>
      <c r="H20" s="12"/>
    </row>
    <row r="28" spans="1:9" ht="13" x14ac:dyDescent="0.3">
      <c r="I28" s="15" t="s">
        <v>67</v>
      </c>
    </row>
    <row r="29" spans="1:9" x14ac:dyDescent="0.25">
      <c r="I29" s="16">
        <v>0</v>
      </c>
    </row>
    <row r="30" spans="1:9" x14ac:dyDescent="0.25">
      <c r="I30" s="16" t="s">
        <v>72</v>
      </c>
    </row>
    <row r="31" spans="1:9" x14ac:dyDescent="0.25">
      <c r="I31" s="16" t="s">
        <v>73</v>
      </c>
    </row>
    <row r="32" spans="1:9" x14ac:dyDescent="0.25">
      <c r="I32" s="16" t="s">
        <v>74</v>
      </c>
    </row>
    <row r="33" spans="9:9" x14ac:dyDescent="0.25">
      <c r="I33" s="16" t="s">
        <v>75</v>
      </c>
    </row>
    <row r="34" spans="9:9" x14ac:dyDescent="0.25">
      <c r="I34" s="16" t="s">
        <v>76</v>
      </c>
    </row>
    <row r="35" spans="9:9" x14ac:dyDescent="0.25">
      <c r="I35" s="16" t="s">
        <v>77</v>
      </c>
    </row>
    <row r="36" spans="9:9" ht="13" thickBot="1" x14ac:dyDescent="0.3">
      <c r="I36" s="17" t="s">
        <v>78</v>
      </c>
    </row>
  </sheetData>
  <mergeCells count="2">
    <mergeCell ref="A4:C4"/>
    <mergeCell ref="A11:C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FDF505-AC7B-42F0-B4AF-214877F557E0}">
  <ds:schemaRefs>
    <ds:schemaRef ds:uri="http://schemas.microsoft.com/office/infopath/2007/PartnerControls"/>
    <ds:schemaRef ds:uri="http://schemas.microsoft.com/office/2006/documentManagement/types"/>
    <ds:schemaRef ds:uri="71037282-4172-42af-8e02-c41ee92b0631"/>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20291ebb-8fd5-4a4a-b5a6-ec5249e68ab7"/>
    <ds:schemaRef ds:uri="http://www.w3.org/XML/1998/namespace"/>
    <ds:schemaRef ds:uri="http://purl.org/dc/dcmitype/"/>
  </ds:schemaRefs>
</ds:datastoreItem>
</file>

<file path=customXml/itemProps2.xml><?xml version="1.0" encoding="utf-8"?>
<ds:datastoreItem xmlns:ds="http://schemas.openxmlformats.org/officeDocument/2006/customXml" ds:itemID="{E3411A24-4C1B-42B2-8635-859EE727F76E}"/>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IS Calc</vt:lpstr>
      <vt:lpstr>CN Calc</vt:lpstr>
      <vt:lpstr>IGR Calc</vt:lpstr>
      <vt:lpstr>CE Calc</vt:lpstr>
      <vt:lpstr>TA Calc</vt:lpstr>
      <vt:lpstr>FPC Calc</vt:lpstr>
      <vt:lpstr>Number of Parts</vt:lpstr>
      <vt:lpstr>Tables</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dcterms:created xsi:type="dcterms:W3CDTF">2005-03-03T11:13:30Z</dcterms:created>
  <dcterms:modified xsi:type="dcterms:W3CDTF">2022-06-30T12:36:47Z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