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 Payroll_Toolkit\2 Documents\Tax &amp; Period Calculators\"/>
    </mc:Choice>
  </mc:AlternateContent>
  <bookViews>
    <workbookView xWindow="0" yWindow="0" windowWidth="25440" windowHeight="11835" tabRatio="835"/>
  </bookViews>
  <sheets>
    <sheet name="Tax Calculation" sheetId="9" r:id="rId1"/>
    <sheet name="TravelAllowanceCalc" sheetId="10" r:id="rId2"/>
    <sheet name="CoCar" sheetId="11" r:id="rId3"/>
    <sheet name="MedAidBenefit" sheetId="12" r:id="rId4"/>
    <sheet name="VehicleLookupSchedule" sheetId="13" r:id="rId5"/>
    <sheet name="Tax_Tables" sheetId="14" r:id="rId6"/>
  </sheets>
  <calcPr calcId="152511"/>
</workbook>
</file>

<file path=xl/calcChain.xml><?xml version="1.0" encoding="utf-8"?>
<calcChain xmlns="http://schemas.openxmlformats.org/spreadsheetml/2006/main">
  <c r="C16" i="9" l="1"/>
  <c r="C17" i="12" l="1"/>
  <c r="G2" i="14" l="1"/>
  <c r="C13" i="12" l="1"/>
  <c r="C11" i="12" s="1"/>
  <c r="D13" i="12" l="1"/>
  <c r="D11" i="12" s="1"/>
  <c r="E13" i="12"/>
  <c r="E11" i="12" s="1"/>
  <c r="F13" i="12"/>
  <c r="F11" i="12" s="1"/>
  <c r="G13" i="12"/>
  <c r="G11" i="12" s="1"/>
  <c r="H13" i="12"/>
  <c r="H11" i="12" s="1"/>
  <c r="I13" i="12"/>
  <c r="I11" i="12" s="1"/>
  <c r="J13" i="12"/>
  <c r="J11" i="12" s="1"/>
  <c r="K13" i="12"/>
  <c r="K11" i="12" s="1"/>
  <c r="L13" i="12"/>
  <c r="L11" i="12" s="1"/>
  <c r="M13" i="12"/>
  <c r="M11" i="12" s="1"/>
  <c r="N13" i="12"/>
  <c r="N11" i="12" s="1"/>
  <c r="C19" i="12" l="1"/>
  <c r="B17" i="11" l="1"/>
  <c r="G4" i="14"/>
  <c r="G3" i="14"/>
  <c r="C9" i="10" l="1"/>
  <c r="C32" i="10"/>
  <c r="E5" i="12" l="1"/>
  <c r="C24" i="12"/>
  <c r="Q16" i="12"/>
  <c r="B19" i="11"/>
  <c r="B16" i="11"/>
  <c r="B8" i="11"/>
  <c r="B18" i="11" l="1"/>
  <c r="B20" i="11" s="1"/>
  <c r="C57" i="9"/>
  <c r="C49" i="9"/>
  <c r="C22" i="9"/>
  <c r="C36" i="9"/>
  <c r="C39" i="10"/>
  <c r="C38" i="10"/>
  <c r="C36" i="10"/>
  <c r="D17" i="12" l="1"/>
  <c r="E17" i="12"/>
  <c r="F17" i="12"/>
  <c r="G17" i="12"/>
  <c r="H17" i="12"/>
  <c r="I17" i="12"/>
  <c r="J17" i="12"/>
  <c r="K17" i="12"/>
  <c r="L17" i="12"/>
  <c r="M17" i="12"/>
  <c r="N17" i="12"/>
  <c r="A16" i="12"/>
  <c r="C25" i="12" l="1"/>
  <c r="N24" i="12"/>
  <c r="M24" i="12"/>
  <c r="L24" i="12"/>
  <c r="K24" i="12"/>
  <c r="J24" i="12"/>
  <c r="I24" i="12"/>
  <c r="H24" i="12"/>
  <c r="G24" i="12"/>
  <c r="F24" i="12"/>
  <c r="E24" i="12"/>
  <c r="D24" i="12"/>
  <c r="O23" i="12"/>
  <c r="O22" i="12"/>
  <c r="O21" i="12"/>
  <c r="O18" i="12"/>
  <c r="O16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6" i="12"/>
  <c r="C31" i="10"/>
  <c r="D28" i="10"/>
  <c r="C30" i="10"/>
  <c r="C37" i="10" s="1"/>
  <c r="C43" i="9"/>
  <c r="C29" i="9"/>
  <c r="C38" i="9" s="1"/>
  <c r="C27" i="9"/>
  <c r="C26" i="9"/>
  <c r="C25" i="9"/>
  <c r="C24" i="9"/>
  <c r="C23" i="9"/>
  <c r="C30" i="9"/>
  <c r="C39" i="9" s="1"/>
  <c r="O24" i="12" l="1"/>
  <c r="P23" i="12"/>
  <c r="C28" i="9"/>
  <c r="C33" i="10"/>
  <c r="C40" i="10"/>
  <c r="P16" i="12"/>
  <c r="P18" i="12"/>
  <c r="D19" i="12"/>
  <c r="F19" i="12"/>
  <c r="H19" i="12"/>
  <c r="J19" i="12"/>
  <c r="L19" i="12"/>
  <c r="N19" i="12"/>
  <c r="P21" i="12"/>
  <c r="P22" i="12"/>
  <c r="O17" i="12"/>
  <c r="E19" i="12"/>
  <c r="G19" i="12"/>
  <c r="I19" i="12"/>
  <c r="K19" i="12"/>
  <c r="M19" i="12"/>
  <c r="G14" i="12" l="1"/>
  <c r="G15" i="12" s="1"/>
  <c r="G12" i="12" s="1"/>
  <c r="E14" i="12"/>
  <c r="E15" i="12" s="1"/>
  <c r="E12" i="12" s="1"/>
  <c r="F14" i="12"/>
  <c r="F15" i="12" s="1"/>
  <c r="F12" i="12" s="1"/>
  <c r="D14" i="12"/>
  <c r="D15" i="12" s="1"/>
  <c r="D12" i="12" s="1"/>
  <c r="M14" i="12"/>
  <c r="M15" i="12" s="1"/>
  <c r="M12" i="12" s="1"/>
  <c r="N14" i="12"/>
  <c r="N15" i="12" s="1"/>
  <c r="N12" i="12" s="1"/>
  <c r="K14" i="12"/>
  <c r="K15" i="12" s="1"/>
  <c r="K12" i="12" s="1"/>
  <c r="L14" i="12"/>
  <c r="L15" i="12" s="1"/>
  <c r="L12" i="12" s="1"/>
  <c r="H14" i="12"/>
  <c r="H15" i="12" s="1"/>
  <c r="H12" i="12" s="1"/>
  <c r="I14" i="12"/>
  <c r="I15" i="12" s="1"/>
  <c r="I12" i="12" s="1"/>
  <c r="J14" i="12"/>
  <c r="J15" i="12" s="1"/>
  <c r="J12" i="12" s="1"/>
  <c r="C43" i="10"/>
  <c r="C20" i="10" s="1"/>
  <c r="C23" i="10" s="1"/>
  <c r="C31" i="9"/>
  <c r="C33" i="9" s="1"/>
  <c r="P24" i="12"/>
  <c r="P17" i="12"/>
  <c r="P19" i="12" s="1"/>
  <c r="P20" i="12" s="1"/>
  <c r="O19" i="12"/>
  <c r="J25" i="12"/>
  <c r="K25" i="12"/>
  <c r="G25" i="12"/>
  <c r="N25" i="12"/>
  <c r="H25" i="12"/>
  <c r="D25" i="12"/>
  <c r="M25" i="12"/>
  <c r="I25" i="12"/>
  <c r="E25" i="12"/>
  <c r="L25" i="12"/>
  <c r="F25" i="12"/>
  <c r="C42" i="9" l="1"/>
  <c r="C44" i="9" s="1"/>
  <c r="C46" i="9" s="1"/>
  <c r="C34" i="9"/>
  <c r="C35" i="9"/>
  <c r="P25" i="12"/>
  <c r="O20" i="12"/>
  <c r="O25" i="12"/>
  <c r="C48" i="9" l="1"/>
  <c r="C47" i="9"/>
  <c r="C37" i="9"/>
  <c r="C40" i="9" s="1"/>
  <c r="C50" i="9" l="1"/>
  <c r="C51" i="9"/>
  <c r="C52" i="9" l="1"/>
  <c r="C54" i="9" s="1"/>
  <c r="C14" i="12"/>
  <c r="C15" i="12" l="1"/>
  <c r="C12" i="12" s="1"/>
  <c r="P12" i="12" s="1"/>
  <c r="P11" i="12"/>
  <c r="O11" i="12"/>
  <c r="O12" i="12" l="1"/>
  <c r="C55" i="9" l="1"/>
  <c r="C56" i="9" s="1"/>
  <c r="C58" i="9" s="1"/>
  <c r="C18" i="9" s="1"/>
</calcChain>
</file>

<file path=xl/sharedStrings.xml><?xml version="1.0" encoding="utf-8"?>
<sst xmlns="http://schemas.openxmlformats.org/spreadsheetml/2006/main" count="222" uniqueCount="184">
  <si>
    <t>Car's Determined Value</t>
  </si>
  <si>
    <t>Fixed Cost</t>
  </si>
  <si>
    <t>Fuel Cost</t>
  </si>
  <si>
    <t>Maintenance Cost</t>
  </si>
  <si>
    <t>Estimated Total Kilometres</t>
  </si>
  <si>
    <t>If Business kilometres are reimbursed:</t>
  </si>
  <si>
    <t>Estimated reimbursed kilometres</t>
  </si>
  <si>
    <t xml:space="preserve">                               or</t>
  </si>
  <si>
    <t>Travel Allowance Calculation</t>
  </si>
  <si>
    <t>Kilometres</t>
  </si>
  <si>
    <t>Schedule Values</t>
  </si>
  <si>
    <t>Total Cost Value</t>
  </si>
  <si>
    <t>Rate per kilometre: Total Cost</t>
  </si>
  <si>
    <t>Rate per kilometre: Fuel</t>
  </si>
  <si>
    <t>Rate per kilometre: Maintenance</t>
  </si>
  <si>
    <t>Rate per kilometre: Schedule Rate</t>
  </si>
  <si>
    <t>Travel Allowance</t>
  </si>
  <si>
    <t>Vehicle (incl.VAT)</t>
  </si>
  <si>
    <t>Estimated Total kilometres</t>
  </si>
  <si>
    <t xml:space="preserve">   B</t>
  </si>
  <si>
    <t xml:space="preserve">  H = G / A</t>
  </si>
  <si>
    <t xml:space="preserve">  I  (lookup from schedule)</t>
  </si>
  <si>
    <t xml:space="preserve">  J (lookup from schedule)</t>
  </si>
  <si>
    <t xml:space="preserve">  G (lookup from schedule)</t>
  </si>
  <si>
    <t xml:space="preserve">  K = H + I + J</t>
  </si>
  <si>
    <t xml:space="preserve">  L = F * K</t>
  </si>
  <si>
    <t xml:space="preserve">  B</t>
  </si>
  <si>
    <t xml:space="preserve">  D</t>
  </si>
  <si>
    <t xml:space="preserve">  O</t>
  </si>
  <si>
    <t xml:space="preserve">  A</t>
  </si>
  <si>
    <t xml:space="preserve">  C  (code 3702 amount)</t>
  </si>
  <si>
    <t xml:space="preserve">  N  (code 3701 amount)</t>
  </si>
  <si>
    <t>Travel Allowance for each Month of the Tax year</t>
  </si>
  <si>
    <t>Travel Allowance for the Full Tax year</t>
  </si>
  <si>
    <t>Estimated Rands Value to be reimbursed</t>
  </si>
  <si>
    <t>Less Reimbursed Business Kilometres</t>
  </si>
  <si>
    <t>Employee's contribution to his own Private Medical Aid</t>
  </si>
  <si>
    <t>Fixed</t>
  </si>
  <si>
    <t>Once</t>
  </si>
  <si>
    <t>Total</t>
  </si>
  <si>
    <t>IRP5 Codes</t>
  </si>
  <si>
    <t>Description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</si>
  <si>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</si>
  <si>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</si>
  <si>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</si>
  <si>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</si>
  <si>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</si>
  <si>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</si>
  <si>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</si>
  <si>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</si>
  <si>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</si>
  <si>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</si>
  <si>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</si>
  <si>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</si>
  <si>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Y+ (IRP5) Totals</t>
  </si>
  <si>
    <t>Forecast</t>
  </si>
  <si>
    <t>Average</t>
  </si>
  <si>
    <t>ER Contribution</t>
  </si>
  <si>
    <t>PAYE Deduction</t>
  </si>
  <si>
    <t>Med Exp (ER)(Family)</t>
  </si>
  <si>
    <t>Med Exp (ER)(Others)</t>
  </si>
  <si>
    <t>Med Exp (ER)(NoTax)</t>
  </si>
  <si>
    <t>Expenses Perk</t>
  </si>
  <si>
    <t>Remuneration Adjustment</t>
  </si>
  <si>
    <t>NOTE</t>
  </si>
  <si>
    <t>old 4005</t>
  </si>
  <si>
    <t>Entry Fields</t>
  </si>
  <si>
    <t>Beneficiaries (incl princilple member)</t>
  </si>
  <si>
    <t>Employee age</t>
  </si>
  <si>
    <t>Enter employee's age for correct Rebate amounts</t>
  </si>
  <si>
    <t>Tax on Normal Earnings YTD</t>
  </si>
  <si>
    <t>Year to date taxable Earnings</t>
  </si>
  <si>
    <t>Taxable Earnings excluding Travel Allowance</t>
  </si>
  <si>
    <t>+</t>
  </si>
  <si>
    <t>Year to date Fringe Benefits</t>
  </si>
  <si>
    <t>Y+ value from PT screen - excl RA and IncRep</t>
  </si>
  <si>
    <t>Provision for Tax on Annual Bonus</t>
  </si>
  <si>
    <t>Y+ Provision from TAX screen</t>
  </si>
  <si>
    <t>Taxable Company Contributions</t>
  </si>
  <si>
    <t>Y+ value of all CC Tax Flagged Items</t>
  </si>
  <si>
    <t>-</t>
  </si>
  <si>
    <t>Tax Deductable Deductions</t>
  </si>
  <si>
    <t>=</t>
  </si>
  <si>
    <t>Net Remuneration</t>
  </si>
  <si>
    <t>x</t>
  </si>
  <si>
    <t>366 or 365 or 364</t>
  </si>
  <si>
    <t>/</t>
  </si>
  <si>
    <t>Number of days worked in the tax year</t>
  </si>
  <si>
    <t>Annualised Remuneration</t>
  </si>
  <si>
    <t xml:space="preserve">Calculate tax according to statutory Tables </t>
  </si>
  <si>
    <t>Lower Bracket in Statutory rates</t>
  </si>
  <si>
    <t>Percentage given</t>
  </si>
  <si>
    <t>Given Amount</t>
  </si>
  <si>
    <t>Tax Rebate</t>
  </si>
  <si>
    <t>Tax on Annual equivalent of normal earnings</t>
  </si>
  <si>
    <t>Tax on Normal Earnings to Date</t>
  </si>
  <si>
    <t>Tax on Periodic Earnings YTD</t>
  </si>
  <si>
    <t>Annualised remuneration (see above)</t>
  </si>
  <si>
    <t>Year-to-date periodic earnings</t>
  </si>
  <si>
    <t>Enter sum of Y+ Periodic Taxable amounts</t>
  </si>
  <si>
    <t>Annnualised figure including periodic earnings</t>
  </si>
  <si>
    <t>Calculate Tax according to Statutory Rates</t>
  </si>
  <si>
    <t>Lower bracket in Statutory tax rates</t>
  </si>
  <si>
    <t>Fixed Amount given</t>
  </si>
  <si>
    <t>Tax on Annual equivalent including periodics</t>
  </si>
  <si>
    <t>Annual Tax amount on normal earnings</t>
  </si>
  <si>
    <t>Tax on Periodic Earnings</t>
  </si>
  <si>
    <t>Total Tax due for the year</t>
  </si>
  <si>
    <t>Year to Date Tax Paid</t>
  </si>
  <si>
    <t>Tax already paid for year (Tax+Add Tax Y)</t>
  </si>
  <si>
    <t>Tax due in this period</t>
  </si>
  <si>
    <t>Days in Tax Year</t>
  </si>
  <si>
    <t>Taxable Value of Travel Allowance</t>
  </si>
  <si>
    <t>Calculation Detail</t>
  </si>
  <si>
    <t>Taxable Income</t>
  </si>
  <si>
    <t>Base Amount</t>
  </si>
  <si>
    <t>%</t>
  </si>
  <si>
    <t>Above Amount</t>
  </si>
  <si>
    <t>Rebates:</t>
  </si>
  <si>
    <t xml:space="preserve">Number of Days Worked </t>
  </si>
  <si>
    <t>Calculated Fields</t>
  </si>
  <si>
    <t>Y+ Values</t>
  </si>
  <si>
    <t>Averaged Amounts</t>
  </si>
  <si>
    <t>EE Contribution (deemed)
[old 4005+3810]</t>
  </si>
  <si>
    <t>Annualised Tax Deductible Amount</t>
  </si>
  <si>
    <t>Private</t>
  </si>
  <si>
    <t>Business</t>
  </si>
  <si>
    <t>Less Actual Private kilometres</t>
  </si>
  <si>
    <t xml:space="preserve">   E (A1)</t>
  </si>
  <si>
    <t xml:space="preserve">   A (A3)</t>
  </si>
  <si>
    <t>Pens, RA, IncRep, Med, Payroll Giving</t>
  </si>
  <si>
    <t xml:space="preserve">EE Contribution (actual deduction)        </t>
  </si>
  <si>
    <t xml:space="preserve">  E</t>
  </si>
  <si>
    <t>Estimated Business Kilometres</t>
  </si>
  <si>
    <t>Business Portion</t>
  </si>
  <si>
    <t xml:space="preserve">   F = A - E - B</t>
  </si>
  <si>
    <r>
      <t xml:space="preserve">(Original purchase price </t>
    </r>
    <r>
      <rPr>
        <b/>
        <i/>
        <sz val="8"/>
        <rFont val="Arial"/>
        <family val="2"/>
      </rPr>
      <t>plus</t>
    </r>
    <r>
      <rPr>
        <i/>
        <sz val="8"/>
        <rFont val="Arial"/>
        <family val="2"/>
      </rPr>
      <t xml:space="preserve"> VAT </t>
    </r>
    <r>
      <rPr>
        <b/>
        <i/>
        <sz val="8"/>
        <rFont val="Arial"/>
        <family val="2"/>
      </rPr>
      <t>excluding</t>
    </r>
    <r>
      <rPr>
        <i/>
        <sz val="8"/>
        <rFont val="Arial"/>
        <family val="2"/>
      </rPr>
      <t xml:space="preserve"> finance charges)</t>
    </r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</si>
  <si>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this value can be grossed up</t>
    </r>
  </si>
  <si>
    <t>Year to Date Tax Paid ( Value including the medical aid tax credit )</t>
  </si>
  <si>
    <t>Year to Date medical aid credit (i.e. monthly credits added together YTD )</t>
  </si>
  <si>
    <t>Year to Date Medical Aid Credit</t>
  </si>
  <si>
    <t>Employee Age</t>
  </si>
  <si>
    <t>Legally Retired ( Y / N )</t>
  </si>
  <si>
    <t>Fringe benefit</t>
  </si>
  <si>
    <t>Tax Calculated for the year</t>
  </si>
  <si>
    <t>Notes</t>
  </si>
  <si>
    <t>Logbook: Private Km</t>
  </si>
  <si>
    <t>Logbook: Business Km</t>
  </si>
  <si>
    <t>Logbook: Total Km</t>
  </si>
  <si>
    <t>Percentage for Inclusion into Remuneration</t>
  </si>
  <si>
    <t>Select inclusion %</t>
  </si>
  <si>
    <t>Taxable value for Company Car Calculation</t>
  </si>
  <si>
    <t>Determined value (excl VAT)</t>
  </si>
  <si>
    <t>VAT</t>
  </si>
  <si>
    <t>Maintenance Plan</t>
  </si>
  <si>
    <t>Determined value (incl VAT)</t>
  </si>
  <si>
    <t>Fringe Benefit percentage per month</t>
  </si>
  <si>
    <t>Fringe Benefit</t>
  </si>
  <si>
    <t>B15*B16</t>
  </si>
  <si>
    <t>Inclusion Rate</t>
  </si>
  <si>
    <t>Remuneration Value (for the Tax, SDL and UIF Calculation)</t>
  </si>
  <si>
    <t>B17*B18</t>
  </si>
  <si>
    <t>Tax Deductible Deductions</t>
  </si>
  <si>
    <t>Sum of all 3701 Y+ values multiplied by 20 / 80 / 100</t>
  </si>
  <si>
    <t>Primary</t>
  </si>
  <si>
    <t>Secondary</t>
  </si>
  <si>
    <t>Tertiary</t>
  </si>
  <si>
    <t>Calculation</t>
  </si>
  <si>
    <t xml:space="preserve">Medical Credits </t>
  </si>
  <si>
    <r>
      <t xml:space="preserve">Check tax factor on TAX screen. </t>
    </r>
    <r>
      <rPr>
        <b/>
        <i/>
        <sz val="8"/>
        <rFont val="Arial"/>
        <family val="2"/>
      </rPr>
      <t>Check that dates are correct!</t>
    </r>
  </si>
  <si>
    <r>
      <t>Check tax factor on TAX screen.</t>
    </r>
    <r>
      <rPr>
        <b/>
        <i/>
        <sz val="8"/>
        <rFont val="Arial"/>
        <family val="2"/>
      </rPr>
      <t xml:space="preserve"> Check that dates are correct!</t>
    </r>
  </si>
  <si>
    <r>
      <t>Enter the applicable Y+ values in the</t>
    </r>
    <r>
      <rPr>
        <b/>
        <sz val="8"/>
        <color rgb="FFFF5800"/>
        <rFont val="Arial"/>
        <family val="2"/>
      </rPr>
      <t xml:space="preserve"> orange</t>
    </r>
    <r>
      <rPr>
        <b/>
        <sz val="8"/>
        <rFont val="Arial"/>
        <family val="2"/>
      </rPr>
      <t xml:space="preserve"> areas</t>
    </r>
  </si>
  <si>
    <r>
      <t xml:space="preserve">Enter the relevant values in the </t>
    </r>
    <r>
      <rPr>
        <b/>
        <sz val="12"/>
        <color rgb="FFFF5800"/>
        <rFont val="Arial"/>
        <family val="2"/>
      </rPr>
      <t>orange</t>
    </r>
    <r>
      <rPr>
        <b/>
        <sz val="12"/>
        <rFont val="Arial"/>
        <family val="2"/>
      </rPr>
      <t xml:space="preserve"> areas</t>
    </r>
  </si>
  <si>
    <r>
      <t xml:space="preserve">Enter your Estimated Values for the Full Tax Year (2015/2016) in the </t>
    </r>
    <r>
      <rPr>
        <b/>
        <sz val="8"/>
        <color rgb="FFFF5800"/>
        <rFont val="Arial"/>
        <family val="2"/>
      </rPr>
      <t>orange</t>
    </r>
    <r>
      <rPr>
        <b/>
        <sz val="8"/>
        <rFont val="Arial"/>
        <family val="2"/>
      </rPr>
      <t xml:space="preserve"> areas</t>
    </r>
  </si>
  <si>
    <t>Average Tax Calculation: South Africa - Mar 2016 - Feb 2017</t>
  </si>
  <si>
    <t>Travel allowance calculation for the 2016/2017 Tax year</t>
  </si>
  <si>
    <t>Taxable value of company car calculation                                                                               for the 2016/2017 Tax year</t>
  </si>
  <si>
    <t>Additional medical tax credit</t>
  </si>
  <si>
    <t>N</t>
  </si>
  <si>
    <t>Tax Threshold</t>
  </si>
  <si>
    <t>Annually</t>
  </si>
  <si>
    <t>up to 65</t>
  </si>
  <si>
    <t>65 up to 75</t>
  </si>
  <si>
    <t>75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</si>
</sst>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&quot;R&quot;\ * #,##0_ ;_ &quot;R&quot;\ * \-#,##0_ ;_ &quot;R&quot;\ * &quot;-&quot;_ ;_ @_ "/>
    <numFmt numFmtId="165" formatCode="_ * #,##0_ ;_ * \-#,##0_ ;_ * &quot;-&quot;_ ;_ @_ "/>
    <numFmt numFmtId="166" formatCode="_ * #,##0.00_ ;_ * \-#,##0.00_ ;_ * &quot;-&quot;??_ ;_ @_ "/>
    <numFmt numFmtId="167" formatCode="0.000"/>
    <numFmt numFmtId="168" formatCode="_(&quot;R&quot;* #,##0.000_);_(&quot;R&quot;* \(#,##0.000\);_(&quot;R&quot;* &quot;-&quot;???_);_(@_)"/>
    <numFmt numFmtId="169" formatCode="_(&quot;R&quot;* #,##0.00_);_(&quot;R&quot;* \(#,##0.00\);_(&quot;R&quot;* &quot;-&quot;_);_(@_)"/>
    <numFmt numFmtId="170" formatCode="0.0000"/>
    <numFmt numFmtId="171" formatCode="&quot;R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8"/>
      <color rgb="FFFF5800"/>
      <name val="Arial"/>
      <family val="2"/>
    </font>
    <font>
      <sz val="8"/>
      <color rgb="FF41A940"/>
      <name val="Arial"/>
      <family val="2"/>
    </font>
    <font>
      <b/>
      <sz val="12"/>
      <color theme="0"/>
      <name val="Arial"/>
      <family val="2"/>
    </font>
    <font>
      <b/>
      <sz val="12"/>
      <color rgb="FFFF5800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8"/>
      <color indexed="17"/>
      <name val="Arial"/>
      <family val="2"/>
    </font>
    <font>
      <b/>
      <sz val="8"/>
      <color rgb="FFFF000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A9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B087"/>
        <bgColor indexed="64"/>
      </patternFill>
    </fill>
    <fill>
      <patternFill patternType="solid">
        <fgColor rgb="FFB29CDB"/>
        <bgColor indexed="64"/>
      </patternFill>
    </fill>
    <fill>
      <patternFill patternType="gray0625">
        <bgColor rgb="FFB29CDB"/>
      </patternFill>
    </fill>
    <fill>
      <patternFill patternType="solid">
        <fgColor rgb="FF7FCFEC"/>
        <bgColor indexed="64"/>
      </patternFill>
    </fill>
    <fill>
      <patternFill patternType="solid">
        <fgColor rgb="FFA0D49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0" fontId="29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5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 applyBorder="1"/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167" fontId="6" fillId="0" borderId="0" xfId="0" applyNumberFormat="1" applyFont="1" applyBorder="1"/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6" fillId="0" borderId="0" xfId="0" applyFont="1" applyProtection="1"/>
    <xf numFmtId="0" fontId="6" fillId="3" borderId="0" xfId="0" applyFont="1" applyFill="1" applyBorder="1" applyProtection="1"/>
    <xf numFmtId="0" fontId="6" fillId="0" borderId="0" xfId="0" applyFont="1" applyFill="1" applyBorder="1" applyProtection="1"/>
    <xf numFmtId="3" fontId="6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6" fillId="3" borderId="14" xfId="0" applyFont="1" applyFill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right"/>
    </xf>
    <xf numFmtId="0" fontId="6" fillId="3" borderId="11" xfId="0" applyFont="1" applyFill="1" applyBorder="1" applyAlignment="1" applyProtection="1">
      <alignment horizontal="left"/>
    </xf>
    <xf numFmtId="3" fontId="6" fillId="2" borderId="1" xfId="0" applyNumberFormat="1" applyFont="1" applyFill="1" applyBorder="1" applyProtection="1">
      <protection locked="0"/>
    </xf>
    <xf numFmtId="3" fontId="6" fillId="0" borderId="1" xfId="0" applyNumberFormat="1" applyFont="1" applyFill="1" applyBorder="1" applyProtection="1"/>
    <xf numFmtId="49" fontId="6" fillId="3" borderId="11" xfId="0" applyNumberFormat="1" applyFont="1" applyFill="1" applyBorder="1" applyAlignment="1" applyProtection="1">
      <alignment horizontal="left"/>
    </xf>
    <xf numFmtId="0" fontId="8" fillId="3" borderId="0" xfId="0" applyFont="1" applyFill="1" applyBorder="1" applyProtection="1"/>
    <xf numFmtId="4" fontId="6" fillId="3" borderId="0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right"/>
    </xf>
    <xf numFmtId="4" fontId="6" fillId="3" borderId="14" xfId="0" applyNumberFormat="1" applyFont="1" applyFill="1" applyBorder="1" applyProtection="1"/>
    <xf numFmtId="0" fontId="6" fillId="3" borderId="15" xfId="0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0" fontId="5" fillId="3" borderId="14" xfId="0" applyFont="1" applyFill="1" applyBorder="1" applyProtection="1"/>
    <xf numFmtId="3" fontId="5" fillId="3" borderId="14" xfId="0" applyNumberFormat="1" applyFont="1" applyFill="1" applyBorder="1" applyProtection="1"/>
    <xf numFmtId="3" fontId="5" fillId="3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6" fillId="0" borderId="36" xfId="0" applyFont="1" applyBorder="1" applyProtection="1"/>
    <xf numFmtId="0" fontId="12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9" fontId="13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Protection="1"/>
    <xf numFmtId="9" fontId="13" fillId="0" borderId="0" xfId="0" applyNumberFormat="1" applyFont="1" applyProtection="1"/>
    <xf numFmtId="0" fontId="0" fillId="0" borderId="0" xfId="0" applyProtection="1"/>
    <xf numFmtId="0" fontId="14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14" fillId="3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wrapText="1"/>
    </xf>
    <xf numFmtId="0" fontId="0" fillId="6" borderId="0" xfId="0" applyFill="1" applyBorder="1" applyProtection="1"/>
    <xf numFmtId="9" fontId="0" fillId="6" borderId="0" xfId="0" applyNumberFormat="1" applyFill="1" applyBorder="1" applyProtection="1"/>
    <xf numFmtId="0" fontId="0" fillId="6" borderId="10" xfId="0" applyFill="1" applyBorder="1" applyProtection="1"/>
    <xf numFmtId="3" fontId="0" fillId="6" borderId="0" xfId="0" applyNumberFormat="1" applyFill="1" applyBorder="1" applyProtection="1"/>
    <xf numFmtId="0" fontId="13" fillId="6" borderId="13" xfId="0" applyFont="1" applyFill="1" applyBorder="1" applyProtection="1"/>
    <xf numFmtId="3" fontId="0" fillId="6" borderId="38" xfId="1" applyNumberFormat="1" applyFont="1" applyFill="1" applyBorder="1" applyAlignment="1" applyProtection="1">
      <alignment horizontal="right"/>
    </xf>
    <xf numFmtId="3" fontId="0" fillId="6" borderId="0" xfId="1" applyNumberFormat="1" applyFont="1" applyFill="1" applyBorder="1" applyAlignment="1" applyProtection="1">
      <alignment horizontal="right"/>
    </xf>
    <xf numFmtId="0" fontId="13" fillId="6" borderId="7" xfId="0" applyFont="1" applyFill="1" applyBorder="1" applyProtection="1"/>
    <xf numFmtId="3" fontId="16" fillId="0" borderId="0" xfId="0" applyNumberFormat="1" applyFont="1" applyFill="1" applyBorder="1" applyProtection="1"/>
    <xf numFmtId="10" fontId="0" fillId="6" borderId="0" xfId="0" applyNumberFormat="1" applyFill="1" applyBorder="1" applyProtection="1"/>
    <xf numFmtId="0" fontId="0" fillId="0" borderId="0" xfId="0" applyBorder="1" applyProtection="1"/>
    <xf numFmtId="3" fontId="0" fillId="6" borderId="0" xfId="0" applyNumberFormat="1" applyFill="1" applyBorder="1" applyAlignment="1" applyProtection="1">
      <alignment horizontal="right"/>
    </xf>
    <xf numFmtId="0" fontId="4" fillId="6" borderId="10" xfId="0" applyFont="1" applyFill="1" applyBorder="1" applyProtection="1"/>
    <xf numFmtId="0" fontId="4" fillId="6" borderId="39" xfId="0" applyFont="1" applyFill="1" applyBorder="1" applyProtection="1"/>
    <xf numFmtId="171" fontId="0" fillId="6" borderId="38" xfId="0" applyNumberFormat="1" applyFill="1" applyBorder="1" applyAlignment="1" applyProtection="1">
      <alignment horizontal="right"/>
    </xf>
    <xf numFmtId="10" fontId="0" fillId="6" borderId="11" xfId="0" applyNumberFormat="1" applyFill="1" applyBorder="1" applyAlignment="1" applyProtection="1">
      <alignment horizontal="right"/>
    </xf>
    <xf numFmtId="171" fontId="4" fillId="6" borderId="11" xfId="0" applyNumberFormat="1" applyFont="1" applyFill="1" applyBorder="1" applyAlignment="1" applyProtection="1">
      <alignment horizontal="right"/>
    </xf>
    <xf numFmtId="0" fontId="17" fillId="6" borderId="0" xfId="0" applyFont="1" applyFill="1" applyBorder="1" applyAlignment="1" applyProtection="1">
      <alignment horizontal="center"/>
    </xf>
    <xf numFmtId="169" fontId="13" fillId="6" borderId="0" xfId="0" applyNumberFormat="1" applyFont="1" applyFill="1" applyBorder="1" applyProtection="1"/>
    <xf numFmtId="9" fontId="0" fillId="6" borderId="11" xfId="0" applyNumberFormat="1" applyFill="1" applyBorder="1" applyAlignment="1" applyProtection="1">
      <alignment horizontal="right"/>
    </xf>
    <xf numFmtId="0" fontId="17" fillId="6" borderId="0" xfId="0" applyFont="1" applyFill="1" applyBorder="1" applyProtection="1"/>
    <xf numFmtId="0" fontId="13" fillId="6" borderId="1" xfId="0" applyFont="1" applyFill="1" applyBorder="1" applyProtection="1"/>
    <xf numFmtId="171" fontId="13" fillId="6" borderId="2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/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7" fontId="6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0" xfId="0" applyFont="1" applyFill="1" applyProtection="1"/>
    <xf numFmtId="0" fontId="9" fillId="0" borderId="0" xfId="0" applyFont="1" applyFill="1" applyProtection="1"/>
    <xf numFmtId="166" fontId="18" fillId="0" borderId="0" xfId="1" applyFont="1" applyFill="1" applyAlignment="1" applyProtection="1">
      <alignment horizontal="center"/>
    </xf>
    <xf numFmtId="166" fontId="19" fillId="0" borderId="0" xfId="1" applyFont="1" applyFill="1" applyAlignment="1" applyProtection="1">
      <alignment horizontal="center"/>
    </xf>
    <xf numFmtId="0" fontId="20" fillId="0" borderId="0" xfId="0" applyFont="1" applyFill="1" applyProtection="1"/>
    <xf numFmtId="0" fontId="10" fillId="0" borderId="1" xfId="0" applyFont="1" applyFill="1" applyBorder="1" applyProtection="1"/>
    <xf numFmtId="0" fontId="10" fillId="0" borderId="0" xfId="0" applyFont="1" applyFill="1" applyProtection="1"/>
    <xf numFmtId="165" fontId="9" fillId="0" borderId="0" xfId="1" applyNumberFormat="1" applyFont="1" applyFill="1" applyProtection="1"/>
    <xf numFmtId="0" fontId="20" fillId="0" borderId="1" xfId="0" applyFont="1" applyFill="1" applyBorder="1" applyProtection="1"/>
    <xf numFmtId="166" fontId="10" fillId="0" borderId="12" xfId="1" applyFont="1" applyFill="1" applyBorder="1" applyProtection="1"/>
    <xf numFmtId="0" fontId="5" fillId="0" borderId="0" xfId="0" applyFont="1" applyFill="1" applyProtection="1"/>
    <xf numFmtId="0" fontId="20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Protection="1"/>
    <xf numFmtId="166" fontId="6" fillId="0" borderId="1" xfId="1" applyFont="1" applyFill="1" applyBorder="1" applyProtection="1"/>
    <xf numFmtId="0" fontId="9" fillId="0" borderId="1" xfId="0" applyFont="1" applyFill="1" applyBorder="1" applyProtection="1"/>
    <xf numFmtId="170" fontId="6" fillId="0" borderId="1" xfId="1" applyNumberFormat="1" applyFont="1" applyFill="1" applyBorder="1" applyProtection="1"/>
    <xf numFmtId="166" fontId="9" fillId="0" borderId="1" xfId="1" applyFont="1" applyFill="1" applyBorder="1" applyProtection="1"/>
    <xf numFmtId="166" fontId="9" fillId="0" borderId="0" xfId="0" applyNumberFormat="1" applyFont="1" applyFill="1" applyProtection="1"/>
    <xf numFmtId="166" fontId="6" fillId="0" borderId="3" xfId="1" applyFont="1" applyFill="1" applyBorder="1" applyProtection="1"/>
    <xf numFmtId="166" fontId="6" fillId="0" borderId="0" xfId="1" applyFont="1" applyFill="1" applyProtection="1"/>
    <xf numFmtId="0" fontId="22" fillId="7" borderId="0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</xf>
    <xf numFmtId="0" fontId="5" fillId="8" borderId="10" xfId="0" applyFont="1" applyFill="1" applyBorder="1" applyAlignment="1" applyProtection="1">
      <alignment horizontal="centerContinuous"/>
    </xf>
    <xf numFmtId="0" fontId="5" fillId="8" borderId="0" xfId="0" applyFont="1" applyFill="1" applyBorder="1" applyAlignment="1" applyProtection="1">
      <alignment horizontal="centerContinuous"/>
    </xf>
    <xf numFmtId="4" fontId="5" fillId="8" borderId="0" xfId="0" applyNumberFormat="1" applyFont="1" applyFill="1" applyBorder="1" applyAlignment="1" applyProtection="1">
      <alignment horizontal="centerContinuous"/>
    </xf>
    <xf numFmtId="4" fontId="11" fillId="8" borderId="6" xfId="0" applyNumberFormat="1" applyFont="1" applyFill="1" applyBorder="1" applyAlignment="1" applyProtection="1">
      <alignment horizontal="centerContinuous"/>
    </xf>
    <xf numFmtId="0" fontId="6" fillId="8" borderId="10" xfId="0" applyFont="1" applyFill="1" applyBorder="1" applyAlignment="1" applyProtection="1">
      <alignment horizontal="right"/>
    </xf>
    <xf numFmtId="0" fontId="5" fillId="8" borderId="0" xfId="0" applyFont="1" applyFill="1" applyBorder="1" applyProtection="1"/>
    <xf numFmtId="4" fontId="6" fillId="8" borderId="0" xfId="0" applyNumberFormat="1" applyFont="1" applyFill="1" applyBorder="1" applyProtection="1"/>
    <xf numFmtId="0" fontId="6" fillId="8" borderId="11" xfId="0" applyFont="1" applyFill="1" applyBorder="1" applyAlignment="1" applyProtection="1">
      <alignment horizontal="left"/>
    </xf>
    <xf numFmtId="0" fontId="6" fillId="8" borderId="1" xfId="0" applyFont="1" applyFill="1" applyBorder="1" applyProtection="1"/>
    <xf numFmtId="3" fontId="6" fillId="8" borderId="1" xfId="0" applyNumberFormat="1" applyFont="1" applyFill="1" applyBorder="1" applyProtection="1"/>
    <xf numFmtId="0" fontId="6" fillId="8" borderId="0" xfId="0" applyFont="1" applyFill="1" applyBorder="1" applyProtection="1"/>
    <xf numFmtId="164" fontId="6" fillId="8" borderId="1" xfId="0" applyNumberFormat="1" applyFont="1" applyFill="1" applyBorder="1" applyProtection="1"/>
    <xf numFmtId="168" fontId="6" fillId="8" borderId="1" xfId="0" applyNumberFormat="1" applyFont="1" applyFill="1" applyBorder="1" applyProtection="1"/>
    <xf numFmtId="0" fontId="6" fillId="8" borderId="2" xfId="0" applyFont="1" applyFill="1" applyBorder="1" applyProtection="1"/>
    <xf numFmtId="168" fontId="6" fillId="8" borderId="2" xfId="0" applyNumberFormat="1" applyFont="1" applyFill="1" applyBorder="1" applyProtection="1"/>
    <xf numFmtId="0" fontId="6" fillId="8" borderId="16" xfId="0" applyFont="1" applyFill="1" applyBorder="1" applyProtection="1"/>
    <xf numFmtId="168" fontId="6" fillId="8" borderId="16" xfId="0" applyNumberFormat="1" applyFont="1" applyFill="1" applyBorder="1" applyProtection="1"/>
    <xf numFmtId="0" fontId="6" fillId="8" borderId="14" xfId="0" applyFont="1" applyFill="1" applyBorder="1" applyProtection="1"/>
    <xf numFmtId="0" fontId="6" fillId="8" borderId="15" xfId="0" applyFont="1" applyFill="1" applyBorder="1" applyAlignment="1" applyProtection="1">
      <alignment horizontal="left"/>
    </xf>
    <xf numFmtId="0" fontId="5" fillId="9" borderId="1" xfId="0" applyFont="1" applyFill="1" applyBorder="1" applyProtection="1"/>
    <xf numFmtId="166" fontId="6" fillId="9" borderId="1" xfId="1" applyFont="1" applyFill="1" applyBorder="1" applyProtection="1"/>
    <xf numFmtId="0" fontId="10" fillId="9" borderId="1" xfId="0" applyFont="1" applyFill="1" applyBorder="1" applyAlignment="1" applyProtection="1">
      <alignment horizontal="left"/>
    </xf>
    <xf numFmtId="0" fontId="10" fillId="9" borderId="1" xfId="0" applyFont="1" applyFill="1" applyBorder="1" applyProtection="1"/>
    <xf numFmtId="166" fontId="10" fillId="9" borderId="12" xfId="1" applyFont="1" applyFill="1" applyBorder="1" applyProtection="1"/>
    <xf numFmtId="165" fontId="9" fillId="10" borderId="1" xfId="1" applyNumberFormat="1" applyFont="1" applyFill="1" applyBorder="1" applyProtection="1">
      <protection locked="0"/>
    </xf>
    <xf numFmtId="170" fontId="9" fillId="10" borderId="1" xfId="1" applyNumberFormat="1" applyFont="1" applyFill="1" applyBorder="1" applyProtection="1">
      <protection locked="0"/>
    </xf>
    <xf numFmtId="166" fontId="6" fillId="10" borderId="1" xfId="1" applyFont="1" applyFill="1" applyBorder="1" applyProtection="1">
      <protection locked="0"/>
    </xf>
    <xf numFmtId="3" fontId="6" fillId="10" borderId="1" xfId="0" applyNumberFormat="1" applyFont="1" applyFill="1" applyBorder="1" applyProtection="1">
      <protection locked="0"/>
    </xf>
    <xf numFmtId="165" fontId="6" fillId="10" borderId="1" xfId="0" applyNumberFormat="1" applyFont="1" applyFill="1" applyBorder="1" applyProtection="1">
      <protection locked="0"/>
    </xf>
    <xf numFmtId="164" fontId="6" fillId="10" borderId="1" xfId="0" applyNumberFormat="1" applyFont="1" applyFill="1" applyBorder="1" applyProtection="1">
      <protection locked="0"/>
    </xf>
    <xf numFmtId="165" fontId="4" fillId="10" borderId="3" xfId="0" applyNumberFormat="1" applyFont="1" applyFill="1" applyBorder="1" applyProtection="1">
      <protection locked="0"/>
    </xf>
    <xf numFmtId="165" fontId="4" fillId="10" borderId="16" xfId="0" applyNumberFormat="1" applyFont="1" applyFill="1" applyBorder="1" applyProtection="1">
      <protection locked="0"/>
    </xf>
    <xf numFmtId="9" fontId="0" fillId="10" borderId="1" xfId="0" applyNumberFormat="1" applyFill="1" applyBorder="1" applyProtection="1">
      <protection locked="0"/>
    </xf>
    <xf numFmtId="165" fontId="0" fillId="10" borderId="3" xfId="0" applyNumberFormat="1" applyFill="1" applyBorder="1" applyProtection="1">
      <protection locked="0"/>
    </xf>
    <xf numFmtId="165" fontId="0" fillId="10" borderId="39" xfId="0" applyNumberFormat="1" applyFill="1" applyBorder="1" applyProtection="1">
      <protection locked="0"/>
    </xf>
    <xf numFmtId="165" fontId="0" fillId="10" borderId="16" xfId="0" applyNumberForma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6" fillId="0" borderId="37" xfId="0" applyFont="1" applyBorder="1" applyProtection="1"/>
    <xf numFmtId="0" fontId="6" fillId="0" borderId="10" xfId="0" applyFont="1" applyBorder="1" applyProtection="1"/>
    <xf numFmtId="4" fontId="6" fillId="0" borderId="0" xfId="0" applyNumberFormat="1" applyFont="1" applyProtection="1"/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35" xfId="0" applyFont="1" applyBorder="1" applyProtection="1"/>
    <xf numFmtId="4" fontId="5" fillId="0" borderId="0" xfId="0" applyNumberFormat="1" applyFont="1" applyFill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/>
    </xf>
    <xf numFmtId="4" fontId="5" fillId="4" borderId="19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wrapText="1"/>
    </xf>
    <xf numFmtId="4" fontId="5" fillId="4" borderId="1" xfId="0" applyNumberFormat="1" applyFont="1" applyFill="1" applyBorder="1" applyAlignment="1" applyProtection="1">
      <alignment horizontal="center" wrapText="1"/>
    </xf>
    <xf numFmtId="4" fontId="8" fillId="4" borderId="1" xfId="0" applyNumberFormat="1" applyFont="1" applyFill="1" applyBorder="1" applyAlignment="1" applyProtection="1">
      <alignment horizontal="center"/>
    </xf>
    <xf numFmtId="4" fontId="5" fillId="4" borderId="20" xfId="0" applyNumberFormat="1" applyFont="1" applyFill="1" applyBorder="1" applyAlignment="1" applyProtection="1">
      <alignment horizontal="center" wrapText="1"/>
    </xf>
    <xf numFmtId="0" fontId="5" fillId="5" borderId="19" xfId="0" applyNumberFormat="1" applyFont="1" applyFill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vertical="top" wrapText="1"/>
    </xf>
    <xf numFmtId="0" fontId="5" fillId="0" borderId="20" xfId="0" applyFont="1" applyBorder="1" applyAlignment="1" applyProtection="1">
      <alignment horizontal="center"/>
    </xf>
    <xf numFmtId="0" fontId="26" fillId="0" borderId="0" xfId="0" applyFont="1" applyProtection="1"/>
    <xf numFmtId="0" fontId="6" fillId="0" borderId="1" xfId="0" applyFont="1" applyFill="1" applyBorder="1" applyAlignment="1" applyProtection="1">
      <alignment vertical="top" wrapText="1"/>
    </xf>
    <xf numFmtId="0" fontId="5" fillId="0" borderId="1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top" wrapText="1"/>
    </xf>
    <xf numFmtId="0" fontId="5" fillId="0" borderId="2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3" fontId="6" fillId="10" borderId="1" xfId="0" applyNumberFormat="1" applyFont="1" applyFill="1" applyBorder="1" applyAlignment="1" applyProtection="1">
      <alignment horizontal="right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</xf>
    <xf numFmtId="3" fontId="6" fillId="8" borderId="1" xfId="0" applyNumberFormat="1" applyFont="1" applyFill="1" applyBorder="1" applyAlignment="1" applyProtection="1">
      <alignment wrapText="1"/>
    </xf>
    <xf numFmtId="3" fontId="6" fillId="8" borderId="3" xfId="0" applyNumberFormat="1" applyFont="1" applyFill="1" applyBorder="1" applyProtection="1"/>
    <xf numFmtId="3" fontId="6" fillId="8" borderId="4" xfId="0" applyNumberFormat="1" applyFont="1" applyFill="1" applyBorder="1" applyProtection="1"/>
    <xf numFmtId="0" fontId="6" fillId="10" borderId="25" xfId="0" applyFont="1" applyFill="1" applyBorder="1" applyAlignment="1" applyProtection="1">
      <alignment horizontal="center"/>
    </xf>
    <xf numFmtId="0" fontId="6" fillId="8" borderId="25" xfId="0" applyFont="1" applyFill="1" applyBorder="1" applyAlignment="1" applyProtection="1">
      <alignment horizontal="center"/>
    </xf>
    <xf numFmtId="4" fontId="28" fillId="0" borderId="1" xfId="0" applyNumberFormat="1" applyFont="1" applyBorder="1" applyAlignment="1" applyProtection="1">
      <alignment horizontal="center"/>
    </xf>
    <xf numFmtId="3" fontId="6" fillId="11" borderId="1" xfId="0" applyNumberFormat="1" applyFont="1" applyFill="1" applyBorder="1" applyProtection="1"/>
    <xf numFmtId="3" fontId="6" fillId="12" borderId="1" xfId="0" applyNumberFormat="1" applyFont="1" applyFill="1" applyBorder="1" applyProtection="1"/>
    <xf numFmtId="3" fontId="6" fillId="11" borderId="3" xfId="0" applyNumberFormat="1" applyFont="1" applyFill="1" applyBorder="1" applyProtection="1"/>
    <xf numFmtId="3" fontId="6" fillId="11" borderId="4" xfId="0" applyNumberFormat="1" applyFont="1" applyFill="1" applyBorder="1" applyProtection="1"/>
    <xf numFmtId="0" fontId="6" fillId="11" borderId="25" xfId="0" applyFont="1" applyFill="1" applyBorder="1" applyAlignment="1" applyProtection="1">
      <alignment horizontal="center"/>
    </xf>
    <xf numFmtId="3" fontId="25" fillId="13" borderId="1" xfId="0" applyNumberFormat="1" applyFont="1" applyFill="1" applyBorder="1" applyProtection="1"/>
    <xf numFmtId="3" fontId="6" fillId="13" borderId="1" xfId="0" applyNumberFormat="1" applyFont="1" applyFill="1" applyBorder="1" applyProtection="1"/>
    <xf numFmtId="3" fontId="6" fillId="13" borderId="3" xfId="0" applyNumberFormat="1" applyFont="1" applyFill="1" applyBorder="1" applyProtection="1"/>
    <xf numFmtId="0" fontId="6" fillId="13" borderId="25" xfId="0" applyFont="1" applyFill="1" applyBorder="1" applyAlignment="1" applyProtection="1">
      <alignment horizontal="center"/>
    </xf>
    <xf numFmtId="3" fontId="6" fillId="14" borderId="4" xfId="0" applyNumberFormat="1" applyFont="1" applyFill="1" applyBorder="1" applyProtection="1"/>
    <xf numFmtId="0" fontId="6" fillId="14" borderId="25" xfId="0" applyFont="1" applyFill="1" applyBorder="1" applyAlignment="1" applyProtection="1">
      <alignment horizontal="center"/>
    </xf>
    <xf numFmtId="0" fontId="6" fillId="6" borderId="0" xfId="0" applyFont="1" applyFill="1" applyProtection="1"/>
    <xf numFmtId="166" fontId="6" fillId="0" borderId="0" xfId="1" applyFont="1" applyFill="1" applyBorder="1" applyProtection="1">
      <protection locked="0"/>
    </xf>
    <xf numFmtId="0" fontId="5" fillId="5" borderId="40" xfId="0" applyNumberFormat="1" applyFont="1" applyFill="1" applyBorder="1" applyAlignment="1" applyProtection="1">
      <alignment horizontal="center" wrapText="1"/>
    </xf>
    <xf numFmtId="0" fontId="5" fillId="5" borderId="41" xfId="0" applyNumberFormat="1" applyFont="1" applyFill="1" applyBorder="1" applyAlignment="1" applyProtection="1">
      <alignment horizontal="center" wrapText="1"/>
    </xf>
    <xf numFmtId="4" fontId="6" fillId="8" borderId="1" xfId="0" applyNumberFormat="1" applyFont="1" applyFill="1" applyBorder="1" applyProtection="1"/>
    <xf numFmtId="0" fontId="5" fillId="0" borderId="1" xfId="0" applyFont="1" applyBorder="1"/>
    <xf numFmtId="2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13" applyFont="1" applyFill="1" applyBorder="1"/>
    <xf numFmtId="0" fontId="6" fillId="0" borderId="1" xfId="13" applyFont="1" applyBorder="1"/>
    <xf numFmtId="2" fontId="6" fillId="0" borderId="1" xfId="8" applyNumberFormat="1" applyFont="1" applyFill="1" applyBorder="1"/>
    <xf numFmtId="0" fontId="5" fillId="0" borderId="1" xfId="0" applyFont="1" applyBorder="1" applyAlignment="1">
      <alignment wrapText="1"/>
    </xf>
    <xf numFmtId="166" fontId="6" fillId="10" borderId="1" xfId="1" applyFont="1" applyFill="1" applyBorder="1" applyAlignment="1" applyProtection="1">
      <alignment wrapText="1"/>
      <protection locked="0"/>
    </xf>
    <xf numFmtId="166" fontId="23" fillId="7" borderId="7" xfId="1" applyFont="1" applyFill="1" applyBorder="1" applyAlignment="1" applyProtection="1">
      <alignment horizontal="center" vertical="center"/>
    </xf>
    <xf numFmtId="166" fontId="23" fillId="7" borderId="8" xfId="1" applyFont="1" applyFill="1" applyBorder="1" applyAlignment="1" applyProtection="1">
      <alignment horizontal="center" vertical="center"/>
    </xf>
    <xf numFmtId="166" fontId="23" fillId="7" borderId="9" xfId="1" applyFont="1" applyFill="1" applyBorder="1" applyAlignment="1" applyProtection="1">
      <alignment horizontal="center" vertical="center"/>
    </xf>
    <xf numFmtId="166" fontId="5" fillId="0" borderId="14" xfId="1" applyFont="1" applyFill="1" applyBorder="1" applyAlignment="1" applyProtection="1">
      <alignment horizontal="left"/>
    </xf>
    <xf numFmtId="0" fontId="6" fillId="0" borderId="14" xfId="0" applyFont="1" applyBorder="1" applyAlignment="1" applyProtection="1"/>
    <xf numFmtId="0" fontId="23" fillId="7" borderId="7" xfId="0" applyFont="1" applyFill="1" applyBorder="1" applyAlignment="1" applyProtection="1">
      <alignment horizontal="center" vertical="center"/>
    </xf>
    <xf numFmtId="0" fontId="23" fillId="7" borderId="8" xfId="0" applyFont="1" applyFill="1" applyBorder="1" applyAlignment="1" applyProtection="1">
      <alignment horizontal="center" vertical="center"/>
    </xf>
    <xf numFmtId="0" fontId="23" fillId="7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5" fillId="8" borderId="8" xfId="0" applyFont="1" applyFill="1" applyBorder="1" applyAlignment="1" applyProtection="1">
      <alignment horizontal="center"/>
    </xf>
    <xf numFmtId="0" fontId="5" fillId="8" borderId="9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/>
    </xf>
    <xf numFmtId="0" fontId="13" fillId="6" borderId="7" xfId="0" applyFont="1" applyFill="1" applyBorder="1" applyAlignment="1" applyProtection="1">
      <alignment horizontal="center"/>
    </xf>
    <xf numFmtId="0" fontId="13" fillId="6" borderId="6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27" fillId="0" borderId="1" xfId="0" applyFont="1" applyBorder="1" applyAlignment="1" applyProtection="1">
      <alignment horizontal="left"/>
    </xf>
    <xf numFmtId="0" fontId="27" fillId="0" borderId="26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</xf>
    <xf numFmtId="4" fontId="5" fillId="0" borderId="31" xfId="0" applyNumberFormat="1" applyFont="1" applyBorder="1" applyAlignment="1" applyProtection="1">
      <alignment horizontal="center" wrapText="1"/>
    </xf>
    <xf numFmtId="4" fontId="5" fillId="0" borderId="20" xfId="0" applyNumberFormat="1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horizontal="center" wrapText="1"/>
    </xf>
    <xf numFmtId="4" fontId="5" fillId="0" borderId="30" xfId="0" applyNumberFormat="1" applyFont="1" applyBorder="1" applyAlignment="1" applyProtection="1">
      <alignment horizontal="center" wrapText="1"/>
    </xf>
    <xf numFmtId="4" fontId="5" fillId="0" borderId="19" xfId="0" applyNumberFormat="1" applyFont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2" xfId="3"/>
    <cellStyle name="Comma 2 2" xfId="11"/>
    <cellStyle name="Comma 2 3" xfId="18"/>
    <cellStyle name="Comma 3" xfId="9"/>
    <cellStyle name="Comma 4" xfId="7"/>
    <cellStyle name="Comma 5" xfId="16"/>
    <cellStyle name="Normal" xfId="0" builtinId="0"/>
    <cellStyle name="Normal 2" xfId="4"/>
    <cellStyle name="Normal 2 2" xfId="12"/>
    <cellStyle name="Normal 2 3" xfId="6"/>
    <cellStyle name="Normal 2 4" xfId="15"/>
    <cellStyle name="Normal 3" xfId="2"/>
    <cellStyle name="Normal 3 2" xfId="10"/>
    <cellStyle name="Normal 3 3" xfId="17"/>
    <cellStyle name="Normal 4" xfId="8"/>
    <cellStyle name="Normal 5" xfId="13"/>
    <cellStyle name="Normal 6" xfId="5"/>
    <cellStyle name="Normal 7" xfId="14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5800"/>
      <color rgb="FF7FCFEC"/>
      <color rgb="FFA0D49F"/>
      <color rgb="FF41A940"/>
      <color rgb="FFB29CDB"/>
      <color rgb="FFFFB087"/>
      <color rgb="FFFF7E87"/>
      <color rgb="FF9A9B9C"/>
      <color rgb="FF007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480617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0175" cy="480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</xdr:colOff>
      <xdr:row>1</xdr:row>
      <xdr:rowOff>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6200775" cy="571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19050</xdr:colOff>
      <xdr:row>0</xdr:row>
      <xdr:rowOff>426142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619624" cy="42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9"/>
  <sheetViews>
    <sheetView showGridLines="0" showRowColHeaders="0" tabSelected="1" workbookViewId="0">
      <selection activeCell="C5" sqref="C5"/>
    </sheetView>
  </sheetViews>
  <sheetFormatPr defaultColWidth="0" defaultRowHeight="12" x14ac:dyDescent="0.2"/>
  <cols>
    <col min="1" max="1" width="5.140625" style="89" customWidth="1"/>
    <col min="2" max="2" width="54.140625" style="85" customWidth="1"/>
    <col min="3" max="3" width="18.5703125" style="104" customWidth="1"/>
    <col min="4" max="4" width="2.7109375" style="85" customWidth="1"/>
    <col min="5" max="5" width="49" style="86" customWidth="1"/>
    <col min="6" max="16384" width="9.140625" style="85" hidden="1"/>
  </cols>
  <sheetData>
    <row r="1" spans="1:5" ht="40.5" customHeight="1" x14ac:dyDescent="0.2"/>
    <row r="2" spans="1:5" ht="30" customHeight="1" x14ac:dyDescent="0.2">
      <c r="A2" s="207" t="s">
        <v>174</v>
      </c>
      <c r="B2" s="208"/>
      <c r="C2" s="209"/>
    </row>
    <row r="3" spans="1:5" x14ac:dyDescent="0.2">
      <c r="A3" s="87"/>
      <c r="B3" s="88"/>
      <c r="C3" s="88"/>
    </row>
    <row r="4" spans="1:5" ht="15" customHeight="1" x14ac:dyDescent="0.2">
      <c r="A4" s="87"/>
      <c r="B4" s="210" t="s">
        <v>171</v>
      </c>
      <c r="C4" s="211"/>
    </row>
    <row r="5" spans="1:5" ht="15" customHeight="1" x14ac:dyDescent="0.2">
      <c r="B5" s="90" t="s">
        <v>68</v>
      </c>
      <c r="C5" s="131">
        <v>40</v>
      </c>
      <c r="E5" s="86" t="s">
        <v>69</v>
      </c>
    </row>
    <row r="6" spans="1:5" ht="15" customHeight="1" x14ac:dyDescent="0.2">
      <c r="B6" s="90" t="s">
        <v>119</v>
      </c>
      <c r="C6" s="132">
        <v>14</v>
      </c>
      <c r="E6" s="86" t="s">
        <v>169</v>
      </c>
    </row>
    <row r="7" spans="1:5" ht="15" customHeight="1" x14ac:dyDescent="0.2">
      <c r="B7" s="90" t="s">
        <v>111</v>
      </c>
      <c r="C7" s="131">
        <v>364</v>
      </c>
      <c r="E7" s="86" t="s">
        <v>170</v>
      </c>
    </row>
    <row r="8" spans="1:5" ht="15" customHeight="1" x14ac:dyDescent="0.2">
      <c r="B8" s="90" t="s">
        <v>71</v>
      </c>
      <c r="C8" s="133">
        <v>30000</v>
      </c>
      <c r="E8" s="86" t="s">
        <v>72</v>
      </c>
    </row>
    <row r="9" spans="1:5" ht="15" customHeight="1" x14ac:dyDescent="0.2">
      <c r="B9" s="90" t="s">
        <v>112</v>
      </c>
      <c r="C9" s="133">
        <v>2000</v>
      </c>
      <c r="E9" s="86" t="s">
        <v>163</v>
      </c>
    </row>
    <row r="10" spans="1:5" ht="15" customHeight="1" x14ac:dyDescent="0.2">
      <c r="B10" s="90" t="s">
        <v>74</v>
      </c>
      <c r="C10" s="133">
        <v>1000</v>
      </c>
      <c r="E10" s="86" t="s">
        <v>75</v>
      </c>
    </row>
    <row r="11" spans="1:5" ht="15" customHeight="1" x14ac:dyDescent="0.2">
      <c r="B11" s="90" t="s">
        <v>76</v>
      </c>
      <c r="C11" s="133">
        <v>0</v>
      </c>
      <c r="E11" s="86" t="s">
        <v>77</v>
      </c>
    </row>
    <row r="12" spans="1:5" ht="15" customHeight="1" x14ac:dyDescent="0.2">
      <c r="B12" s="90" t="s">
        <v>78</v>
      </c>
      <c r="C12" s="133">
        <v>200</v>
      </c>
      <c r="E12" s="86" t="s">
        <v>79</v>
      </c>
    </row>
    <row r="13" spans="1:5" ht="15" customHeight="1" x14ac:dyDescent="0.2">
      <c r="B13" s="90" t="s">
        <v>81</v>
      </c>
      <c r="C13" s="133">
        <v>2200</v>
      </c>
      <c r="E13" s="86" t="s">
        <v>130</v>
      </c>
    </row>
    <row r="14" spans="1:5" ht="15" customHeight="1" x14ac:dyDescent="0.2">
      <c r="B14" s="90" t="s">
        <v>98</v>
      </c>
      <c r="C14" s="133">
        <v>0</v>
      </c>
      <c r="E14" s="86" t="s">
        <v>99</v>
      </c>
    </row>
    <row r="15" spans="1:5" ht="15" customHeight="1" x14ac:dyDescent="0.2">
      <c r="B15" s="90" t="s">
        <v>108</v>
      </c>
      <c r="C15" s="133">
        <v>0</v>
      </c>
      <c r="E15" s="86" t="s">
        <v>109</v>
      </c>
    </row>
    <row r="16" spans="1:5" ht="15" customHeight="1" x14ac:dyDescent="0.2">
      <c r="B16" s="90" t="s">
        <v>140</v>
      </c>
      <c r="C16" s="206">
        <f>SUM(MedAidBenefit!O11:O12)</f>
        <v>1724</v>
      </c>
    </row>
    <row r="17" spans="1:5" ht="15" customHeight="1" x14ac:dyDescent="0.2">
      <c r="B17" s="91"/>
      <c r="C17" s="92"/>
    </row>
    <row r="18" spans="1:5" ht="15" customHeight="1" thickBot="1" x14ac:dyDescent="0.25">
      <c r="A18" s="93" t="s">
        <v>82</v>
      </c>
      <c r="B18" s="90" t="s">
        <v>110</v>
      </c>
      <c r="C18" s="94">
        <f ca="1">IF(ISERROR(+C58),0,+C58)</f>
        <v>7367.961538461539</v>
      </c>
      <c r="E18" s="85"/>
    </row>
    <row r="19" spans="1:5" ht="15" customHeight="1" thickTop="1" x14ac:dyDescent="0.2">
      <c r="B19" s="91"/>
      <c r="C19" s="92"/>
      <c r="E19" s="195"/>
    </row>
    <row r="20" spans="1:5" ht="15" customHeight="1" x14ac:dyDescent="0.2">
      <c r="B20" s="95" t="s">
        <v>113</v>
      </c>
      <c r="C20" s="92"/>
      <c r="E20" s="85"/>
    </row>
    <row r="21" spans="1:5" ht="15" customHeight="1" x14ac:dyDescent="0.2">
      <c r="A21" s="96"/>
      <c r="B21" s="128" t="s">
        <v>70</v>
      </c>
      <c r="C21" s="127"/>
      <c r="E21" s="85"/>
    </row>
    <row r="22" spans="1:5" x14ac:dyDescent="0.2">
      <c r="A22" s="93"/>
      <c r="B22" s="97" t="s">
        <v>71</v>
      </c>
      <c r="C22" s="98">
        <f>+C8</f>
        <v>30000</v>
      </c>
      <c r="E22" s="85"/>
    </row>
    <row r="23" spans="1:5" x14ac:dyDescent="0.2">
      <c r="A23" s="93" t="s">
        <v>73</v>
      </c>
      <c r="B23" s="97" t="s">
        <v>112</v>
      </c>
      <c r="C23" s="98">
        <f t="shared" ref="C23:C27" si="0">+C9</f>
        <v>2000</v>
      </c>
      <c r="E23" s="85"/>
    </row>
    <row r="24" spans="1:5" x14ac:dyDescent="0.2">
      <c r="A24" s="93" t="s">
        <v>73</v>
      </c>
      <c r="B24" s="97" t="s">
        <v>74</v>
      </c>
      <c r="C24" s="98">
        <f t="shared" si="0"/>
        <v>1000</v>
      </c>
      <c r="E24" s="85"/>
    </row>
    <row r="25" spans="1:5" x14ac:dyDescent="0.2">
      <c r="A25" s="93" t="s">
        <v>73</v>
      </c>
      <c r="B25" s="97" t="s">
        <v>76</v>
      </c>
      <c r="C25" s="98">
        <f t="shared" si="0"/>
        <v>0</v>
      </c>
      <c r="E25" s="85"/>
    </row>
    <row r="26" spans="1:5" x14ac:dyDescent="0.2">
      <c r="A26" s="93" t="s">
        <v>73</v>
      </c>
      <c r="B26" s="97" t="s">
        <v>78</v>
      </c>
      <c r="C26" s="98">
        <f t="shared" si="0"/>
        <v>200</v>
      </c>
      <c r="E26" s="85"/>
    </row>
    <row r="27" spans="1:5" x14ac:dyDescent="0.2">
      <c r="A27" s="93" t="s">
        <v>80</v>
      </c>
      <c r="B27" s="97" t="s">
        <v>162</v>
      </c>
      <c r="C27" s="98">
        <f t="shared" si="0"/>
        <v>2200</v>
      </c>
      <c r="E27" s="85"/>
    </row>
    <row r="28" spans="1:5" x14ac:dyDescent="0.2">
      <c r="A28" s="93" t="s">
        <v>82</v>
      </c>
      <c r="B28" s="99" t="s">
        <v>83</v>
      </c>
      <c r="C28" s="98">
        <f>SUM(C22:C26)-C27</f>
        <v>31000</v>
      </c>
      <c r="E28" s="85"/>
    </row>
    <row r="29" spans="1:5" x14ac:dyDescent="0.2">
      <c r="A29" s="93" t="s">
        <v>84</v>
      </c>
      <c r="B29" s="97" t="s">
        <v>85</v>
      </c>
      <c r="C29" s="98">
        <f>+C7</f>
        <v>364</v>
      </c>
      <c r="E29" s="85"/>
    </row>
    <row r="30" spans="1:5" x14ac:dyDescent="0.2">
      <c r="A30" s="93" t="s">
        <v>86</v>
      </c>
      <c r="B30" s="97" t="s">
        <v>87</v>
      </c>
      <c r="C30" s="100">
        <f>+C6</f>
        <v>14</v>
      </c>
      <c r="E30" s="85"/>
    </row>
    <row r="31" spans="1:5" x14ac:dyDescent="0.2">
      <c r="A31" s="93" t="s">
        <v>82</v>
      </c>
      <c r="B31" s="99" t="s">
        <v>88</v>
      </c>
      <c r="C31" s="101">
        <f>C28*C29/C30</f>
        <v>806000</v>
      </c>
      <c r="E31" s="85"/>
    </row>
    <row r="32" spans="1:5" x14ac:dyDescent="0.2">
      <c r="A32" s="93"/>
      <c r="B32" s="126" t="s">
        <v>89</v>
      </c>
      <c r="C32" s="127"/>
      <c r="E32" s="85"/>
    </row>
    <row r="33" spans="1:5" x14ac:dyDescent="0.2">
      <c r="A33" s="93" t="s">
        <v>80</v>
      </c>
      <c r="B33" s="97" t="s">
        <v>90</v>
      </c>
      <c r="C33" s="98">
        <f ca="1">LOOKUP(C$31,Tax_Tables!A$2:A$7,Tax_Tables!D$2:D$8)</f>
        <v>701300</v>
      </c>
      <c r="E33" s="194"/>
    </row>
    <row r="34" spans="1:5" x14ac:dyDescent="0.2">
      <c r="A34" s="93" t="s">
        <v>84</v>
      </c>
      <c r="B34" s="97" t="s">
        <v>91</v>
      </c>
      <c r="C34" s="98">
        <f>LOOKUP(C$31,Tax_Tables!A$2:A$7,Tax_Tables!C$2:C$7)</f>
        <v>0.41</v>
      </c>
    </row>
    <row r="35" spans="1:5" x14ac:dyDescent="0.2">
      <c r="A35" s="93" t="s">
        <v>73</v>
      </c>
      <c r="B35" s="97" t="s">
        <v>92</v>
      </c>
      <c r="C35" s="98">
        <f>LOOKUP(C$31,Tax_Tables!A$2:A$7,Tax_Tables!B$2:B$7)</f>
        <v>206964</v>
      </c>
    </row>
    <row r="36" spans="1:5" x14ac:dyDescent="0.2">
      <c r="A36" s="93" t="s">
        <v>80</v>
      </c>
      <c r="B36" s="97" t="s">
        <v>93</v>
      </c>
      <c r="C36" s="98">
        <f>IF(C5=0,0,LOOKUP($C$5,Tax_Tables!F2:F5,Tax_Tables!G2:G5))</f>
        <v>13500</v>
      </c>
    </row>
    <row r="37" spans="1:5" x14ac:dyDescent="0.2">
      <c r="A37" s="93" t="s">
        <v>82</v>
      </c>
      <c r="B37" s="97" t="s">
        <v>94</v>
      </c>
      <c r="C37" s="98">
        <f ca="1">IF(((C31-C33)*(C34)+(C35)-C36)&lt;0,0,(C31-C33)*(C34)+(C35)-C36)</f>
        <v>236391</v>
      </c>
    </row>
    <row r="38" spans="1:5" x14ac:dyDescent="0.2">
      <c r="A38" s="93" t="s">
        <v>86</v>
      </c>
      <c r="B38" s="97" t="s">
        <v>85</v>
      </c>
      <c r="C38" s="98">
        <f>C29</f>
        <v>364</v>
      </c>
    </row>
    <row r="39" spans="1:5" x14ac:dyDescent="0.2">
      <c r="A39" s="93" t="s">
        <v>84</v>
      </c>
      <c r="B39" s="97" t="s">
        <v>87</v>
      </c>
      <c r="C39" s="100">
        <f>C30</f>
        <v>14</v>
      </c>
      <c r="E39" s="102"/>
    </row>
    <row r="40" spans="1:5" x14ac:dyDescent="0.2">
      <c r="A40" s="93" t="s">
        <v>82</v>
      </c>
      <c r="B40" s="99" t="s">
        <v>95</v>
      </c>
      <c r="C40" s="101">
        <f ca="1">C37/C38*C39</f>
        <v>9091.961538461539</v>
      </c>
    </row>
    <row r="41" spans="1:5" x14ac:dyDescent="0.2">
      <c r="A41" s="93"/>
      <c r="B41" s="129" t="s">
        <v>96</v>
      </c>
      <c r="C41" s="127"/>
    </row>
    <row r="42" spans="1:5" x14ac:dyDescent="0.2">
      <c r="A42" s="93"/>
      <c r="B42" s="97" t="s">
        <v>97</v>
      </c>
      <c r="C42" s="98">
        <f>C31</f>
        <v>806000</v>
      </c>
    </row>
    <row r="43" spans="1:5" x14ac:dyDescent="0.2">
      <c r="A43" s="93" t="s">
        <v>73</v>
      </c>
      <c r="B43" s="97" t="s">
        <v>98</v>
      </c>
      <c r="C43" s="98">
        <f>+C14</f>
        <v>0</v>
      </c>
    </row>
    <row r="44" spans="1:5" x14ac:dyDescent="0.2">
      <c r="A44" s="93" t="s">
        <v>82</v>
      </c>
      <c r="B44" s="99" t="s">
        <v>100</v>
      </c>
      <c r="C44" s="101">
        <f>SUM(C42:C43)</f>
        <v>806000</v>
      </c>
    </row>
    <row r="45" spans="1:5" x14ac:dyDescent="0.2">
      <c r="A45" s="93"/>
      <c r="B45" s="126" t="s">
        <v>101</v>
      </c>
      <c r="C45" s="127"/>
    </row>
    <row r="46" spans="1:5" x14ac:dyDescent="0.2">
      <c r="A46" s="93" t="s">
        <v>80</v>
      </c>
      <c r="B46" s="97" t="s">
        <v>102</v>
      </c>
      <c r="C46" s="98">
        <f ca="1">LOOKUP(C$44,Tax_Tables!A$2:A$7,Tax_Tables!D$2:D$8)</f>
        <v>701300</v>
      </c>
    </row>
    <row r="47" spans="1:5" x14ac:dyDescent="0.2">
      <c r="A47" s="93" t="s">
        <v>84</v>
      </c>
      <c r="B47" s="97" t="s">
        <v>91</v>
      </c>
      <c r="C47" s="98">
        <f>LOOKUP(C$44,Tax_Tables!A$2:A$7,Tax_Tables!C$2:C$7)</f>
        <v>0.41</v>
      </c>
    </row>
    <row r="48" spans="1:5" x14ac:dyDescent="0.2">
      <c r="A48" s="93" t="s">
        <v>73</v>
      </c>
      <c r="B48" s="97" t="s">
        <v>103</v>
      </c>
      <c r="C48" s="98">
        <f>LOOKUP(C$44,Tax_Tables!A$2:A$7,Tax_Tables!B$2:B$7)</f>
        <v>206964</v>
      </c>
    </row>
    <row r="49" spans="1:5" x14ac:dyDescent="0.2">
      <c r="A49" s="93" t="s">
        <v>80</v>
      </c>
      <c r="B49" s="97" t="s">
        <v>93</v>
      </c>
      <c r="C49" s="98">
        <f>IF(C5=0,0,LOOKUP($C$5,Tax_Tables!F2:F5,Tax_Tables!G2:G5))</f>
        <v>13500</v>
      </c>
    </row>
    <row r="50" spans="1:5" x14ac:dyDescent="0.2">
      <c r="A50" s="93" t="s">
        <v>82</v>
      </c>
      <c r="B50" s="97" t="s">
        <v>104</v>
      </c>
      <c r="C50" s="98">
        <f ca="1">IF(((C44-C46)*(C47)+(C48)-C49)&lt;0,0,(C44-C46)*(C47)+(C48)-C49)</f>
        <v>236391</v>
      </c>
      <c r="E50" s="85"/>
    </row>
    <row r="51" spans="1:5" x14ac:dyDescent="0.2">
      <c r="A51" s="93" t="s">
        <v>80</v>
      </c>
      <c r="B51" s="97" t="s">
        <v>105</v>
      </c>
      <c r="C51" s="98">
        <f ca="1">C37</f>
        <v>236391</v>
      </c>
      <c r="E51" s="85"/>
    </row>
    <row r="52" spans="1:5" x14ac:dyDescent="0.2">
      <c r="A52" s="93" t="s">
        <v>82</v>
      </c>
      <c r="B52" s="99" t="s">
        <v>106</v>
      </c>
      <c r="C52" s="101">
        <f ca="1">IF(C50&lt;0,0,C50-C51)</f>
        <v>0</v>
      </c>
      <c r="E52" s="85"/>
    </row>
    <row r="54" spans="1:5" x14ac:dyDescent="0.2">
      <c r="A54" s="93"/>
      <c r="B54" s="97" t="s">
        <v>144</v>
      </c>
      <c r="C54" s="98">
        <f ca="1">IF(C52&lt;0,C40,IF(C40&lt;0,0,C40+C52))</f>
        <v>9091.961538461539</v>
      </c>
      <c r="E54" s="85"/>
    </row>
    <row r="55" spans="1:5" x14ac:dyDescent="0.2">
      <c r="A55" s="93" t="s">
        <v>80</v>
      </c>
      <c r="B55" s="97" t="s">
        <v>139</v>
      </c>
      <c r="C55" s="103">
        <f>+C16</f>
        <v>1724</v>
      </c>
      <c r="E55" s="85"/>
    </row>
    <row r="56" spans="1:5" x14ac:dyDescent="0.2">
      <c r="A56" s="93" t="s">
        <v>82</v>
      </c>
      <c r="B56" s="97" t="s">
        <v>107</v>
      </c>
      <c r="C56" s="103">
        <f ca="1">IF(C54-C55&lt;0,0,+C54-C55)</f>
        <v>7367.961538461539</v>
      </c>
      <c r="E56" s="85"/>
    </row>
    <row r="57" spans="1:5" x14ac:dyDescent="0.2">
      <c r="A57" s="93" t="s">
        <v>80</v>
      </c>
      <c r="B57" s="97" t="s">
        <v>138</v>
      </c>
      <c r="C57" s="103">
        <f>+C15</f>
        <v>0</v>
      </c>
      <c r="E57" s="85"/>
    </row>
    <row r="58" spans="1:5" ht="12.75" thickBot="1" x14ac:dyDescent="0.25">
      <c r="A58" s="93" t="s">
        <v>82</v>
      </c>
      <c r="B58" s="129" t="s">
        <v>110</v>
      </c>
      <c r="C58" s="130">
        <f ca="1">IF(AND(C56-C57&lt;0,(C56-C57)&lt;(C57*-1)),C57*-1,C56-C57)</f>
        <v>7367.961538461539</v>
      </c>
      <c r="E58" s="85"/>
    </row>
    <row r="59" spans="1:5" ht="12.75" thickTop="1" x14ac:dyDescent="0.2">
      <c r="E59" s="85"/>
    </row>
  </sheetData>
  <sheetProtection algorithmName="SHA-512" hashValue="egQc7sUAqqVtLlItGdz2DDE4kqhqeR89WDb5nfHCZtGPG6f5oIAu7pdbTakieWKX/BNFp0OqApEfIWw+FdDpCA==" saltValue="KJBOm8JvZYVDKd4MdQc8Ww==" spinCount="100000" sheet="1" objects="1" scenarios="1" selectLockedCells="1"/>
  <mergeCells count="2">
    <mergeCell ref="A2:C2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75"/>
  <sheetViews>
    <sheetView showGridLines="0" showRowColHeaders="0" workbookViewId="0">
      <selection activeCell="C7" sqref="C7"/>
    </sheetView>
  </sheetViews>
  <sheetFormatPr defaultColWidth="0" defaultRowHeight="11.25" zeroHeight="1" x14ac:dyDescent="0.2"/>
  <cols>
    <col min="1" max="1" width="4" style="36" customWidth="1"/>
    <col min="2" max="2" width="53.7109375" style="16" customWidth="1"/>
    <col min="3" max="3" width="10" style="16" customWidth="1"/>
    <col min="4" max="4" width="25.42578125" style="35" customWidth="1"/>
    <col min="5" max="5" width="8" style="11" customWidth="1"/>
    <col min="6" max="6" width="9.140625" style="11" hidden="1" customWidth="1"/>
    <col min="7" max="19" width="0" style="11" hidden="1" customWidth="1"/>
    <col min="20" max="16384" width="9.140625" style="12" hidden="1"/>
  </cols>
  <sheetData>
    <row r="1" spans="1:5" ht="45" customHeight="1" x14ac:dyDescent="0.2"/>
    <row r="2" spans="1:5" s="105" customFormat="1" ht="25.5" customHeight="1" x14ac:dyDescent="0.2">
      <c r="A2" s="212" t="s">
        <v>175</v>
      </c>
      <c r="B2" s="213"/>
      <c r="C2" s="213"/>
      <c r="D2" s="214"/>
      <c r="E2" s="106"/>
    </row>
    <row r="3" spans="1:5" x14ac:dyDescent="0.2">
      <c r="A3" s="17"/>
      <c r="B3" s="11"/>
      <c r="C3" s="11"/>
      <c r="D3" s="18"/>
    </row>
    <row r="4" spans="1:5" ht="19.5" customHeight="1" x14ac:dyDescent="0.2">
      <c r="A4" s="215" t="s">
        <v>173</v>
      </c>
      <c r="B4" s="216"/>
      <c r="C4" s="216"/>
      <c r="D4" s="217"/>
    </row>
    <row r="5" spans="1:5" x14ac:dyDescent="0.2">
      <c r="A5" s="19"/>
      <c r="B5" s="11"/>
      <c r="C5" s="11"/>
      <c r="D5" s="20"/>
    </row>
    <row r="6" spans="1:5" x14ac:dyDescent="0.2">
      <c r="A6" s="19"/>
      <c r="B6" s="14" t="s">
        <v>4</v>
      </c>
      <c r="C6" s="11"/>
      <c r="D6" s="20"/>
    </row>
    <row r="7" spans="1:5" x14ac:dyDescent="0.2">
      <c r="A7" s="19"/>
      <c r="B7" s="11" t="s">
        <v>125</v>
      </c>
      <c r="C7" s="134">
        <v>0</v>
      </c>
      <c r="D7" s="20" t="s">
        <v>132</v>
      </c>
    </row>
    <row r="8" spans="1:5" x14ac:dyDescent="0.2">
      <c r="A8" s="19"/>
      <c r="B8" s="11" t="s">
        <v>126</v>
      </c>
      <c r="C8" s="134">
        <v>0</v>
      </c>
      <c r="D8" s="20"/>
    </row>
    <row r="9" spans="1:5" x14ac:dyDescent="0.2">
      <c r="A9" s="19"/>
      <c r="B9" s="11"/>
      <c r="C9" s="22">
        <f>C7+C8</f>
        <v>0</v>
      </c>
      <c r="D9" s="20" t="s">
        <v>29</v>
      </c>
    </row>
    <row r="10" spans="1:5" x14ac:dyDescent="0.2">
      <c r="A10" s="19"/>
      <c r="B10" s="11"/>
      <c r="C10" s="11"/>
      <c r="D10" s="20"/>
    </row>
    <row r="11" spans="1:5" x14ac:dyDescent="0.2">
      <c r="A11" s="19"/>
      <c r="B11" s="14" t="s">
        <v>5</v>
      </c>
      <c r="C11" s="13"/>
      <c r="D11" s="20"/>
    </row>
    <row r="12" spans="1:5" x14ac:dyDescent="0.2">
      <c r="A12" s="19"/>
      <c r="B12" s="11" t="s">
        <v>6</v>
      </c>
      <c r="C12" s="135">
        <v>0</v>
      </c>
      <c r="D12" s="20" t="s">
        <v>26</v>
      </c>
    </row>
    <row r="13" spans="1:5" x14ac:dyDescent="0.2">
      <c r="A13" s="19"/>
      <c r="B13" s="14" t="s">
        <v>7</v>
      </c>
      <c r="C13" s="13"/>
      <c r="D13" s="20"/>
    </row>
    <row r="14" spans="1:5" x14ac:dyDescent="0.2">
      <c r="A14" s="19"/>
      <c r="B14" s="11" t="s">
        <v>34</v>
      </c>
      <c r="C14" s="136">
        <v>0</v>
      </c>
      <c r="D14" s="23" t="s">
        <v>30</v>
      </c>
    </row>
    <row r="15" spans="1:5" x14ac:dyDescent="0.2">
      <c r="A15" s="19"/>
      <c r="B15" s="24"/>
      <c r="C15" s="25"/>
      <c r="D15" s="20"/>
    </row>
    <row r="16" spans="1:5" x14ac:dyDescent="0.2">
      <c r="A16" s="19"/>
      <c r="B16" s="26" t="s">
        <v>0</v>
      </c>
      <c r="C16" s="136">
        <v>0</v>
      </c>
      <c r="D16" s="20" t="s">
        <v>27</v>
      </c>
    </row>
    <row r="17" spans="1:4" x14ac:dyDescent="0.2">
      <c r="A17" s="19"/>
      <c r="B17" s="27" t="s">
        <v>136</v>
      </c>
      <c r="C17" s="25"/>
      <c r="D17" s="20"/>
    </row>
    <row r="18" spans="1:4" x14ac:dyDescent="0.2">
      <c r="A18" s="28"/>
      <c r="B18" s="15"/>
      <c r="C18" s="29"/>
      <c r="D18" s="30"/>
    </row>
    <row r="19" spans="1:4" x14ac:dyDescent="0.2">
      <c r="A19" s="19"/>
      <c r="B19" s="11"/>
      <c r="C19" s="25"/>
      <c r="D19" s="20"/>
    </row>
    <row r="20" spans="1:4" x14ac:dyDescent="0.2">
      <c r="A20" s="19"/>
      <c r="B20" s="14" t="s">
        <v>33</v>
      </c>
      <c r="C20" s="31">
        <f>C43</f>
        <v>0</v>
      </c>
      <c r="D20" s="20" t="s">
        <v>31</v>
      </c>
    </row>
    <row r="21" spans="1:4" x14ac:dyDescent="0.2">
      <c r="A21" s="28"/>
      <c r="B21" s="32"/>
      <c r="C21" s="33"/>
      <c r="D21" s="30"/>
    </row>
    <row r="22" spans="1:4" x14ac:dyDescent="0.2">
      <c r="A22" s="19"/>
      <c r="B22" s="14"/>
      <c r="C22" s="34"/>
      <c r="D22" s="20"/>
    </row>
    <row r="23" spans="1:4" x14ac:dyDescent="0.2">
      <c r="A23" s="19"/>
      <c r="B23" s="14" t="s">
        <v>32</v>
      </c>
      <c r="C23" s="31">
        <f>C20/12</f>
        <v>0</v>
      </c>
      <c r="D23" s="20" t="s">
        <v>28</v>
      </c>
    </row>
    <row r="24" spans="1:4" x14ac:dyDescent="0.2">
      <c r="A24" s="28"/>
      <c r="B24" s="15"/>
      <c r="C24" s="29"/>
      <c r="D24" s="30"/>
    </row>
    <row r="25" spans="1:4" ht="3.75" customHeight="1" x14ac:dyDescent="0.2">
      <c r="A25" s="17"/>
      <c r="B25" s="11"/>
      <c r="C25" s="25"/>
      <c r="D25" s="18"/>
    </row>
    <row r="26" spans="1:4" ht="3.75" customHeight="1" x14ac:dyDescent="0.2">
      <c r="A26" s="17"/>
      <c r="B26" s="11"/>
      <c r="C26" s="25"/>
      <c r="D26" s="18"/>
    </row>
    <row r="27" spans="1:4" ht="24" customHeight="1" x14ac:dyDescent="0.2">
      <c r="A27" s="218" t="s">
        <v>8</v>
      </c>
      <c r="B27" s="219"/>
      <c r="C27" s="219"/>
      <c r="D27" s="220"/>
    </row>
    <row r="28" spans="1:4" x14ac:dyDescent="0.2">
      <c r="A28" s="107"/>
      <c r="B28" s="108"/>
      <c r="C28" s="109"/>
      <c r="D28" s="110">
        <f>SUM(C16,C14,C12,C7)</f>
        <v>0</v>
      </c>
    </row>
    <row r="29" spans="1:4" x14ac:dyDescent="0.2">
      <c r="A29" s="111"/>
      <c r="B29" s="112" t="s">
        <v>9</v>
      </c>
      <c r="C29" s="113"/>
      <c r="D29" s="114"/>
    </row>
    <row r="30" spans="1:4" x14ac:dyDescent="0.2">
      <c r="A30" s="111"/>
      <c r="B30" s="115" t="s">
        <v>18</v>
      </c>
      <c r="C30" s="116">
        <f>+C9</f>
        <v>0</v>
      </c>
      <c r="D30" s="114" t="s">
        <v>129</v>
      </c>
    </row>
    <row r="31" spans="1:4" x14ac:dyDescent="0.2">
      <c r="A31" s="111"/>
      <c r="B31" s="115" t="s">
        <v>127</v>
      </c>
      <c r="C31" s="116">
        <f>C7</f>
        <v>0</v>
      </c>
      <c r="D31" s="114" t="s">
        <v>128</v>
      </c>
    </row>
    <row r="32" spans="1:4" x14ac:dyDescent="0.2">
      <c r="A32" s="111"/>
      <c r="B32" s="115" t="s">
        <v>35</v>
      </c>
      <c r="C32" s="116">
        <f>(IF(C14=0,0,(C14/C40)))+C12</f>
        <v>0</v>
      </c>
      <c r="D32" s="114" t="s">
        <v>19</v>
      </c>
    </row>
    <row r="33" spans="1:19" x14ac:dyDescent="0.2">
      <c r="A33" s="111"/>
      <c r="B33" s="115" t="s">
        <v>133</v>
      </c>
      <c r="C33" s="116">
        <f>C30-C31-C32</f>
        <v>0</v>
      </c>
      <c r="D33" s="114" t="s">
        <v>135</v>
      </c>
    </row>
    <row r="34" spans="1:19" x14ac:dyDescent="0.2">
      <c r="A34" s="111"/>
      <c r="B34" s="117"/>
      <c r="C34" s="113"/>
      <c r="D34" s="114"/>
    </row>
    <row r="35" spans="1:19" x14ac:dyDescent="0.2">
      <c r="A35" s="111"/>
      <c r="B35" s="112" t="s">
        <v>10</v>
      </c>
      <c r="C35" s="113"/>
      <c r="D35" s="114"/>
    </row>
    <row r="36" spans="1:19" x14ac:dyDescent="0.2">
      <c r="A36" s="111"/>
      <c r="B36" s="115" t="s">
        <v>11</v>
      </c>
      <c r="C36" s="118">
        <f>IF(C16=0,0,LOOKUP($C$16,VehicleLookupSchedule!A2:A11,VehicleLookupSchedule!B2:B11))</f>
        <v>0</v>
      </c>
      <c r="D36" s="114" t="s">
        <v>23</v>
      </c>
    </row>
    <row r="37" spans="1:19" x14ac:dyDescent="0.2">
      <c r="A37" s="111"/>
      <c r="B37" s="115" t="s">
        <v>12</v>
      </c>
      <c r="C37" s="119">
        <f>IF(C16=0,0,ROUND(C36/C30,3))</f>
        <v>0</v>
      </c>
      <c r="D37" s="114" t="s">
        <v>20</v>
      </c>
    </row>
    <row r="38" spans="1:19" x14ac:dyDescent="0.2">
      <c r="A38" s="111"/>
      <c r="B38" s="115" t="s">
        <v>13</v>
      </c>
      <c r="C38" s="119">
        <f>IF(C16=0,0,LOOKUP($C$16,VehicleLookupSchedule!A2:A11,VehicleLookupSchedule!C2:C11))</f>
        <v>0</v>
      </c>
      <c r="D38" s="114" t="s">
        <v>21</v>
      </c>
    </row>
    <row r="39" spans="1:19" ht="12" thickBot="1" x14ac:dyDescent="0.25">
      <c r="A39" s="111"/>
      <c r="B39" s="120" t="s">
        <v>14</v>
      </c>
      <c r="C39" s="121">
        <f>IF(C16=0,0,LOOKUP($C$16,VehicleLookupSchedule!A2:A11,VehicleLookupSchedule!D2:D11))</f>
        <v>0</v>
      </c>
      <c r="D39" s="114" t="s">
        <v>22</v>
      </c>
    </row>
    <row r="40" spans="1:19" x14ac:dyDescent="0.2">
      <c r="A40" s="111"/>
      <c r="B40" s="122" t="s">
        <v>15</v>
      </c>
      <c r="C40" s="123">
        <f>(C37+C38+C39)</f>
        <v>0</v>
      </c>
      <c r="D40" s="114" t="s">
        <v>24</v>
      </c>
    </row>
    <row r="41" spans="1:19" x14ac:dyDescent="0.2">
      <c r="A41" s="111"/>
      <c r="B41" s="117"/>
      <c r="C41" s="113"/>
      <c r="D41" s="114"/>
    </row>
    <row r="42" spans="1:19" x14ac:dyDescent="0.2">
      <c r="A42" s="111"/>
      <c r="B42" s="112" t="s">
        <v>16</v>
      </c>
      <c r="C42" s="113"/>
      <c r="D42" s="114"/>
    </row>
    <row r="43" spans="1:19" x14ac:dyDescent="0.2">
      <c r="A43" s="111"/>
      <c r="B43" s="115" t="s">
        <v>134</v>
      </c>
      <c r="C43" s="118">
        <f>+C33*C40</f>
        <v>0</v>
      </c>
      <c r="D43" s="114" t="s">
        <v>25</v>
      </c>
    </row>
    <row r="44" spans="1:19" x14ac:dyDescent="0.2">
      <c r="A44" s="111"/>
      <c r="B44" s="124" t="s">
        <v>137</v>
      </c>
      <c r="C44" s="124"/>
      <c r="D44" s="125"/>
    </row>
    <row r="45" spans="1:19" x14ac:dyDescent="0.2">
      <c r="A45" s="11"/>
      <c r="B45" s="18"/>
      <c r="C45" s="11"/>
      <c r="D45" s="11"/>
      <c r="R45" s="12"/>
      <c r="S45" s="12"/>
    </row>
    <row r="46" spans="1:19" x14ac:dyDescent="0.2">
      <c r="A46" s="11"/>
      <c r="B46" s="18"/>
      <c r="C46" s="11"/>
      <c r="D46" s="11"/>
      <c r="R46" s="12"/>
      <c r="S46" s="12"/>
    </row>
    <row r="47" spans="1:19" hidden="1" x14ac:dyDescent="0.2">
      <c r="A47" s="11"/>
      <c r="B47" s="18"/>
      <c r="C47" s="11"/>
      <c r="D47" s="11"/>
      <c r="R47" s="12"/>
      <c r="S47" s="12"/>
    </row>
    <row r="48" spans="1:19" hidden="1" x14ac:dyDescent="0.2">
      <c r="A48" s="11"/>
      <c r="B48" s="18"/>
      <c r="C48" s="11"/>
      <c r="D48" s="11"/>
      <c r="R48" s="12"/>
      <c r="S48" s="12"/>
    </row>
    <row r="49" spans="1:19" hidden="1" x14ac:dyDescent="0.2">
      <c r="A49" s="11"/>
      <c r="B49" s="18"/>
      <c r="C49" s="11"/>
      <c r="D49" s="11"/>
      <c r="R49" s="12"/>
      <c r="S49" s="12"/>
    </row>
    <row r="50" spans="1:19" hidden="1" x14ac:dyDescent="0.2">
      <c r="A50" s="11"/>
      <c r="B50" s="18"/>
      <c r="C50" s="11"/>
      <c r="D50" s="11"/>
      <c r="R50" s="12"/>
      <c r="S50" s="12"/>
    </row>
    <row r="51" spans="1:19" hidden="1" x14ac:dyDescent="0.2">
      <c r="A51" s="17"/>
      <c r="B51" s="11"/>
      <c r="C51" s="11"/>
      <c r="D51" s="18"/>
    </row>
    <row r="52" spans="1:19" hidden="1" x14ac:dyDescent="0.2">
      <c r="A52" s="17"/>
      <c r="B52" s="11"/>
      <c r="C52" s="11"/>
      <c r="D52" s="18"/>
    </row>
    <row r="53" spans="1:19" hidden="1" x14ac:dyDescent="0.2">
      <c r="A53" s="17"/>
      <c r="B53" s="11"/>
      <c r="C53" s="11"/>
      <c r="D53" s="18"/>
    </row>
    <row r="54" spans="1:19" hidden="1" x14ac:dyDescent="0.2">
      <c r="A54" s="17"/>
      <c r="B54" s="11"/>
      <c r="C54" s="11"/>
      <c r="D54" s="18"/>
    </row>
    <row r="55" spans="1:19" hidden="1" x14ac:dyDescent="0.2">
      <c r="A55" s="17"/>
      <c r="B55" s="11"/>
      <c r="C55" s="11"/>
      <c r="D55" s="18"/>
    </row>
    <row r="56" spans="1:19" hidden="1" x14ac:dyDescent="0.2">
      <c r="A56" s="17"/>
      <c r="B56" s="11"/>
      <c r="C56" s="11"/>
      <c r="D56" s="18"/>
    </row>
    <row r="57" spans="1:19" hidden="1" x14ac:dyDescent="0.2">
      <c r="A57" s="17"/>
      <c r="B57" s="11"/>
      <c r="C57" s="11"/>
      <c r="D57" s="18"/>
    </row>
    <row r="58" spans="1:19" hidden="1" x14ac:dyDescent="0.2">
      <c r="A58" s="17"/>
      <c r="B58" s="11"/>
      <c r="C58" s="11"/>
      <c r="D58" s="18"/>
    </row>
    <row r="59" spans="1:19" hidden="1" x14ac:dyDescent="0.2">
      <c r="A59" s="17"/>
      <c r="B59" s="11"/>
      <c r="C59" s="11"/>
      <c r="D59" s="18"/>
    </row>
    <row r="60" spans="1:19" hidden="1" x14ac:dyDescent="0.2">
      <c r="A60" s="17"/>
      <c r="B60" s="11"/>
      <c r="C60" s="11"/>
      <c r="D60" s="18"/>
    </row>
    <row r="61" spans="1:19" hidden="1" x14ac:dyDescent="0.2">
      <c r="A61" s="17"/>
      <c r="B61" s="11"/>
      <c r="C61" s="11"/>
      <c r="D61" s="18"/>
    </row>
    <row r="62" spans="1:19" hidden="1" x14ac:dyDescent="0.2">
      <c r="A62" s="17"/>
      <c r="B62" s="11"/>
      <c r="C62" s="11"/>
      <c r="D62" s="18"/>
    </row>
    <row r="63" spans="1:19" hidden="1" x14ac:dyDescent="0.2">
      <c r="A63" s="17"/>
      <c r="B63" s="11"/>
      <c r="C63" s="11"/>
      <c r="D63" s="18"/>
    </row>
    <row r="64" spans="1:19" hidden="1" x14ac:dyDescent="0.2">
      <c r="A64" s="17"/>
      <c r="B64" s="11"/>
      <c r="C64" s="11"/>
      <c r="D64" s="18"/>
    </row>
    <row r="65" spans="1:4" hidden="1" x14ac:dyDescent="0.2">
      <c r="A65" s="17"/>
      <c r="B65" s="11"/>
      <c r="C65" s="11"/>
      <c r="D65" s="18"/>
    </row>
    <row r="66" spans="1:4" hidden="1" x14ac:dyDescent="0.2">
      <c r="A66" s="17"/>
      <c r="B66" s="11"/>
      <c r="C66" s="11"/>
      <c r="D66" s="18"/>
    </row>
    <row r="67" spans="1:4" hidden="1" x14ac:dyDescent="0.2">
      <c r="A67" s="17"/>
      <c r="B67" s="11"/>
      <c r="C67" s="11"/>
      <c r="D67" s="18"/>
    </row>
    <row r="68" spans="1:4" hidden="1" x14ac:dyDescent="0.2">
      <c r="A68" s="17"/>
      <c r="B68" s="11"/>
      <c r="C68" s="11"/>
      <c r="D68" s="18"/>
    </row>
    <row r="69" spans="1:4" hidden="1" x14ac:dyDescent="0.2">
      <c r="A69" s="17"/>
      <c r="B69" s="11"/>
      <c r="C69" s="11"/>
      <c r="D69" s="18"/>
    </row>
    <row r="70" spans="1:4" hidden="1" x14ac:dyDescent="0.2">
      <c r="A70" s="17"/>
    </row>
    <row r="71" spans="1:4" hidden="1" x14ac:dyDescent="0.2">
      <c r="A71" s="17"/>
    </row>
    <row r="72" spans="1:4" hidden="1" x14ac:dyDescent="0.2">
      <c r="A72" s="17"/>
    </row>
    <row r="73" spans="1:4" hidden="1" x14ac:dyDescent="0.2">
      <c r="A73" s="17"/>
    </row>
    <row r="74" spans="1:4" hidden="1" x14ac:dyDescent="0.2">
      <c r="A74" s="17"/>
    </row>
    <row r="75" spans="1:4" hidden="1" x14ac:dyDescent="0.2">
      <c r="A75" s="17"/>
    </row>
  </sheetData>
  <sheetProtection algorithmName="SHA-512" hashValue="vtu1FinOqsKdAvOyxF1Moa6CwsybCopY78gR8hiUJrJsSR2PuQydiPp/Bh2mED5viorm1Z54UKbJhEx644Ialg==" saltValue="lZD4O7+dDl04+MPLmTK1EA==" spinCount="100000" sheet="1" objects="1" scenarios="1" selectLockedCells="1"/>
  <mergeCells count="3">
    <mergeCell ref="A2:D2"/>
    <mergeCell ref="A4:D4"/>
    <mergeCell ref="A27:D27"/>
  </mergeCells>
  <conditionalFormatting sqref="B15">
    <cfRule type="cellIs" dxfId="0" priority="1" stopIfTrue="1" operator="equal">
      <formula>"""You may only enter one of the values. Please correct"""</formula>
    </cfRule>
  </conditionalFormatting>
  <dataValidations count="1">
    <dataValidation type="whole" allowBlank="1" showInputMessage="1" showErrorMessage="1" errorTitle="Input Error" error="Enter a value without decimals" sqref="C16 C12 C14 C7:C9">
      <formula1>0</formula1>
      <formula2>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103"/>
  <sheetViews>
    <sheetView showGridLines="0" showRowColHeaders="0" workbookViewId="0">
      <selection activeCell="B6" sqref="B6"/>
    </sheetView>
  </sheetViews>
  <sheetFormatPr defaultColWidth="0" defaultRowHeight="12.75" zeroHeight="1" x14ac:dyDescent="0.2"/>
  <cols>
    <col min="1" max="1" width="55.7109375" style="45" customWidth="1"/>
    <col min="2" max="2" width="13.28515625" style="45" customWidth="1"/>
    <col min="3" max="3" width="21.42578125" style="61" customWidth="1"/>
    <col min="4" max="4" width="12.28515625" style="45" hidden="1" customWidth="1"/>
    <col min="5" max="5" width="13.140625" style="45" hidden="1" customWidth="1"/>
    <col min="6" max="21" width="9.140625" style="45" hidden="1" customWidth="1"/>
    <col min="22" max="22" width="0" style="45" hidden="1" customWidth="1"/>
    <col min="23" max="16384" width="9.140625" style="45" hidden="1"/>
  </cols>
  <sheetData>
    <row r="1" spans="1:22" ht="34.5" customHeight="1" x14ac:dyDescent="0.2"/>
    <row r="2" spans="1:22" s="41" customFormat="1" ht="42.75" customHeight="1" x14ac:dyDescent="0.25">
      <c r="A2" s="221" t="s">
        <v>176</v>
      </c>
      <c r="B2" s="221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>
        <v>0.2</v>
      </c>
    </row>
    <row r="3" spans="1:22" x14ac:dyDescent="0.2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>
        <v>0.8</v>
      </c>
    </row>
    <row r="4" spans="1:22" ht="15.75" x14ac:dyDescent="0.25">
      <c r="A4" s="222" t="s">
        <v>172</v>
      </c>
      <c r="B4" s="222"/>
      <c r="C4" s="46"/>
      <c r="D4" s="46"/>
      <c r="E4" s="4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>
        <v>1</v>
      </c>
    </row>
    <row r="5" spans="1:22" ht="15.75" x14ac:dyDescent="0.25">
      <c r="A5" s="48"/>
      <c r="B5" s="48"/>
      <c r="C5" s="49" t="s">
        <v>145</v>
      </c>
      <c r="E5" s="4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x14ac:dyDescent="0.2">
      <c r="A6" s="50" t="s">
        <v>146</v>
      </c>
      <c r="B6" s="137"/>
      <c r="C6" s="51"/>
      <c r="D6" s="52"/>
      <c r="E6" s="5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">
      <c r="A7" s="53" t="s">
        <v>147</v>
      </c>
      <c r="B7" s="138"/>
      <c r="C7" s="54"/>
      <c r="D7" s="52"/>
      <c r="E7" s="5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2" ht="13.5" thickBot="1" x14ac:dyDescent="0.25">
      <c r="A8" s="55" t="s">
        <v>148</v>
      </c>
      <c r="B8" s="56">
        <f>B6+B7</f>
        <v>0</v>
      </c>
      <c r="C8" s="54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x14ac:dyDescent="0.2">
      <c r="A9" s="51"/>
      <c r="B9" s="57"/>
      <c r="C9" s="54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2" x14ac:dyDescent="0.2">
      <c r="A10" s="58" t="s">
        <v>149</v>
      </c>
      <c r="B10" s="139"/>
      <c r="C10" s="59" t="s">
        <v>150</v>
      </c>
      <c r="D10" s="60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2" x14ac:dyDescent="0.2">
      <c r="A11" s="61"/>
      <c r="B11" s="62"/>
      <c r="C11" s="54"/>
      <c r="D11" s="60"/>
      <c r="E11" s="5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2" x14ac:dyDescent="0.2">
      <c r="A12" s="223" t="s">
        <v>151</v>
      </c>
      <c r="B12" s="224"/>
      <c r="C12" s="51"/>
      <c r="D12" s="60"/>
      <c r="E12" s="5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x14ac:dyDescent="0.2">
      <c r="A13" s="63" t="s">
        <v>152</v>
      </c>
      <c r="B13" s="140"/>
      <c r="C13" s="51"/>
      <c r="D13" s="60"/>
      <c r="E13" s="5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x14ac:dyDescent="0.2">
      <c r="A14" s="63" t="s">
        <v>153</v>
      </c>
      <c r="B14" s="141"/>
      <c r="C14" s="51"/>
      <c r="D14" s="60"/>
      <c r="E14" s="5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2" x14ac:dyDescent="0.2">
      <c r="A15" s="63" t="s">
        <v>154</v>
      </c>
      <c r="B15" s="142"/>
      <c r="C15" s="51"/>
      <c r="D15" s="60"/>
      <c r="E15" s="5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13.5" thickBot="1" x14ac:dyDescent="0.25">
      <c r="A16" s="64" t="s">
        <v>155</v>
      </c>
      <c r="B16" s="65">
        <f>B13+B14+B15</f>
        <v>0</v>
      </c>
      <c r="C16" s="51"/>
      <c r="D16" s="60"/>
      <c r="E16" s="5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">
      <c r="A17" s="64" t="s">
        <v>156</v>
      </c>
      <c r="B17" s="66">
        <f>IF(B15&gt;0,3.25%,3.5%)</f>
        <v>3.5000000000000003E-2</v>
      </c>
      <c r="C17" s="45"/>
      <c r="D17" s="51"/>
      <c r="E17" s="5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2">
      <c r="A18" s="64" t="s">
        <v>157</v>
      </c>
      <c r="B18" s="67">
        <f>B16*B17</f>
        <v>0</v>
      </c>
      <c r="C18" s="68" t="s">
        <v>158</v>
      </c>
      <c r="D18" s="69"/>
      <c r="E18" s="5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2">
      <c r="A19" s="64" t="s">
        <v>159</v>
      </c>
      <c r="B19" s="70">
        <f>B10</f>
        <v>0</v>
      </c>
      <c r="C19" s="71"/>
      <c r="D19" s="51"/>
      <c r="E19" s="5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3.5" thickBot="1" x14ac:dyDescent="0.25">
      <c r="A20" s="72" t="s">
        <v>160</v>
      </c>
      <c r="B20" s="73">
        <f>B18*B19</f>
        <v>0</v>
      </c>
      <c r="C20" s="68" t="s">
        <v>161</v>
      </c>
      <c r="D20" s="51"/>
      <c r="E20" s="5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x14ac:dyDescent="0.2">
      <c r="A21" s="74"/>
      <c r="B21" s="74"/>
      <c r="C21" s="51"/>
      <c r="D21" s="74"/>
      <c r="E21" s="7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2">
      <c r="A22" s="43"/>
      <c r="B22" s="43"/>
      <c r="C22" s="3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2">
      <c r="A23" s="43"/>
      <c r="B23" s="43"/>
      <c r="C23" s="3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x14ac:dyDescent="0.2">
      <c r="A24" s="43"/>
      <c r="B24" s="43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idden="1" x14ac:dyDescent="0.2">
      <c r="A25" s="43"/>
      <c r="B25" s="43"/>
      <c r="C25" s="3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hidden="1" x14ac:dyDescent="0.2">
      <c r="A26" s="43"/>
      <c r="B26" s="43"/>
      <c r="C26" s="3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hidden="1" x14ac:dyDescent="0.2">
      <c r="A27" s="43"/>
      <c r="B27" s="43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idden="1" x14ac:dyDescent="0.2">
      <c r="A28" s="43"/>
      <c r="B28" s="43"/>
      <c r="C28" s="3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idden="1" x14ac:dyDescent="0.2">
      <c r="A29" s="43"/>
      <c r="B29" s="43"/>
      <c r="C29" s="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idden="1" x14ac:dyDescent="0.2">
      <c r="A30" s="43"/>
      <c r="B30" s="43"/>
      <c r="C30" s="3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idden="1" x14ac:dyDescent="0.2">
      <c r="A31" s="43"/>
      <c r="B31" s="43"/>
      <c r="C31" s="3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idden="1" x14ac:dyDescent="0.2">
      <c r="A32" s="43"/>
      <c r="B32" s="43"/>
      <c r="C32" s="3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idden="1" x14ac:dyDescent="0.2">
      <c r="A33" s="43"/>
      <c r="B33" s="43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idden="1" x14ac:dyDescent="0.2">
      <c r="A34" s="43"/>
      <c r="B34" s="43"/>
      <c r="C34" s="3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idden="1" x14ac:dyDescent="0.2">
      <c r="A35" s="43"/>
      <c r="B35" s="43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idden="1" x14ac:dyDescent="0.2">
      <c r="A36" s="43"/>
      <c r="B36" s="43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idden="1" x14ac:dyDescent="0.2">
      <c r="A37" s="43"/>
      <c r="B37" s="43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 x14ac:dyDescent="0.2">
      <c r="A38" s="43"/>
      <c r="B38" s="43"/>
      <c r="C38" s="3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hidden="1" x14ac:dyDescent="0.2">
      <c r="A39" s="43"/>
      <c r="B39" s="43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hidden="1" x14ac:dyDescent="0.2">
      <c r="A40" s="43"/>
      <c r="B40" s="43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idden="1" x14ac:dyDescent="0.2">
      <c r="A41" s="43"/>
      <c r="B41" s="43"/>
      <c r="C41" s="3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idden="1" x14ac:dyDescent="0.2">
      <c r="A42" s="43"/>
      <c r="B42" s="43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idden="1" x14ac:dyDescent="0.2">
      <c r="A43" s="43"/>
      <c r="B43" s="43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idden="1" x14ac:dyDescent="0.2">
      <c r="A44" s="43"/>
      <c r="B44" s="43"/>
      <c r="C44" s="39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idden="1" x14ac:dyDescent="0.2">
      <c r="A45" s="43"/>
      <c r="B45" s="43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idden="1" x14ac:dyDescent="0.2">
      <c r="A46" s="43"/>
      <c r="B46" s="43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idden="1" x14ac:dyDescent="0.2">
      <c r="A47" s="43"/>
      <c r="B47" s="43"/>
      <c r="C47" s="39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idden="1" x14ac:dyDescent="0.2">
      <c r="A48" s="43"/>
      <c r="B48" s="43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idden="1" x14ac:dyDescent="0.2">
      <c r="A49" s="43"/>
      <c r="B49" s="43"/>
      <c r="C49" s="39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idden="1" x14ac:dyDescent="0.2">
      <c r="A50" s="43"/>
      <c r="B50" s="43"/>
      <c r="C50" s="3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idden="1" x14ac:dyDescent="0.2">
      <c r="A51" s="43"/>
      <c r="B51" s="43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idden="1" x14ac:dyDescent="0.2">
      <c r="A52" s="43"/>
      <c r="B52" s="43"/>
      <c r="C52" s="3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idden="1" x14ac:dyDescent="0.2">
      <c r="A53" s="43"/>
      <c r="B53" s="43"/>
      <c r="C53" s="3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idden="1" x14ac:dyDescent="0.2">
      <c r="A54" s="43"/>
      <c r="B54" s="43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idden="1" x14ac:dyDescent="0.2">
      <c r="A55" s="43"/>
      <c r="B55" s="43"/>
      <c r="C55" s="39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idden="1" x14ac:dyDescent="0.2">
      <c r="A56" s="43"/>
      <c r="B56" s="43"/>
      <c r="C56" s="3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idden="1" x14ac:dyDescent="0.2">
      <c r="A57" s="43"/>
      <c r="B57" s="43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idden="1" x14ac:dyDescent="0.2">
      <c r="A58" s="43"/>
      <c r="B58" s="43"/>
      <c r="C58" s="39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idden="1" x14ac:dyDescent="0.2">
      <c r="A59" s="43"/>
      <c r="B59" s="43"/>
      <c r="C59" s="3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idden="1" x14ac:dyDescent="0.2">
      <c r="A60" s="43"/>
      <c r="B60" s="43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idden="1" x14ac:dyDescent="0.2">
      <c r="A61" s="43"/>
      <c r="B61" s="43"/>
      <c r="C61" s="39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idden="1" x14ac:dyDescent="0.2">
      <c r="A62" s="43"/>
      <c r="B62" s="43"/>
      <c r="C62" s="39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idden="1" x14ac:dyDescent="0.2">
      <c r="A63" s="43"/>
      <c r="B63" s="43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idden="1" x14ac:dyDescent="0.2">
      <c r="A64" s="43"/>
      <c r="B64" s="43"/>
      <c r="C64" s="39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idden="1" x14ac:dyDescent="0.2">
      <c r="A65" s="43"/>
      <c r="B65" s="43"/>
      <c r="C65" s="39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idden="1" x14ac:dyDescent="0.2">
      <c r="A66" s="43"/>
      <c r="B66" s="43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idden="1" x14ac:dyDescent="0.2">
      <c r="A67" s="43"/>
      <c r="B67" s="43"/>
      <c r="C67" s="39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idden="1" x14ac:dyDescent="0.2">
      <c r="A68" s="43"/>
      <c r="B68" s="43"/>
      <c r="C68" s="39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idden="1" x14ac:dyDescent="0.2">
      <c r="A69" s="43"/>
      <c r="B69" s="43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idden="1" x14ac:dyDescent="0.2">
      <c r="A70" s="43"/>
      <c r="B70" s="43"/>
      <c r="C70" s="39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idden="1" x14ac:dyDescent="0.2">
      <c r="A71" s="43"/>
      <c r="B71" s="43"/>
      <c r="C71" s="3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idden="1" x14ac:dyDescent="0.2">
      <c r="A72" s="43"/>
      <c r="B72" s="43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idden="1" x14ac:dyDescent="0.2">
      <c r="A73" s="43"/>
      <c r="B73" s="43"/>
      <c r="C73" s="39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idden="1" x14ac:dyDescent="0.2">
      <c r="A74" s="43"/>
      <c r="B74" s="43"/>
      <c r="C74" s="39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idden="1" x14ac:dyDescent="0.2">
      <c r="A75" s="43"/>
      <c r="B75" s="43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idden="1" x14ac:dyDescent="0.2">
      <c r="A76" s="43"/>
      <c r="B76" s="43"/>
      <c r="C76" s="39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idden="1" x14ac:dyDescent="0.2">
      <c r="A77" s="43"/>
      <c r="B77" s="43"/>
      <c r="C77" s="3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idden="1" x14ac:dyDescent="0.2">
      <c r="A78" s="43"/>
      <c r="B78" s="43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idden="1" x14ac:dyDescent="0.2">
      <c r="A79" s="43"/>
      <c r="B79" s="43"/>
      <c r="C79" s="3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idden="1" x14ac:dyDescent="0.2">
      <c r="A80" s="43"/>
      <c r="B80" s="43"/>
      <c r="C80" s="39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hidden="1" x14ac:dyDescent="0.2">
      <c r="A81" s="43"/>
      <c r="B81" s="43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hidden="1" x14ac:dyDescent="0.2">
      <c r="A82" s="43"/>
      <c r="B82" s="43"/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hidden="1" x14ac:dyDescent="0.2">
      <c r="A83" s="43"/>
      <c r="B83" s="43"/>
      <c r="C83" s="39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hidden="1" x14ac:dyDescent="0.2">
      <c r="A84" s="43"/>
      <c r="B84" s="43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idden="1" x14ac:dyDescent="0.2">
      <c r="A85" s="43"/>
      <c r="B85" s="43"/>
      <c r="C85" s="39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idden="1" x14ac:dyDescent="0.2">
      <c r="A86" s="43"/>
      <c r="B86" s="43"/>
      <c r="C86" s="39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hidden="1" x14ac:dyDescent="0.2">
      <c r="A87" s="43"/>
      <c r="B87" s="43"/>
      <c r="C87" s="3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1:21" hidden="1" x14ac:dyDescent="0.2">
      <c r="A88" s="43"/>
      <c r="B88" s="43"/>
      <c r="C88" s="39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hidden="1" x14ac:dyDescent="0.2">
      <c r="A89" s="43"/>
      <c r="B89" s="43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hidden="1" x14ac:dyDescent="0.2">
      <c r="A90" s="43"/>
      <c r="B90" s="43"/>
      <c r="C90" s="39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idden="1" x14ac:dyDescent="0.2">
      <c r="A91" s="43"/>
      <c r="B91" s="43"/>
      <c r="C91" s="39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hidden="1" x14ac:dyDescent="0.2">
      <c r="A92" s="43"/>
      <c r="B92" s="43"/>
      <c r="C92" s="39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hidden="1" x14ac:dyDescent="0.2">
      <c r="A93" s="43"/>
      <c r="B93" s="43"/>
      <c r="C93" s="39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hidden="1" x14ac:dyDescent="0.2">
      <c r="A94" s="43"/>
      <c r="B94" s="43"/>
      <c r="C94" s="39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hidden="1" x14ac:dyDescent="0.2">
      <c r="A95" s="43"/>
      <c r="B95" s="43"/>
      <c r="C95" s="3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hidden="1" x14ac:dyDescent="0.2">
      <c r="A96" s="43"/>
      <c r="B96" s="43"/>
      <c r="C96" s="3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hidden="1" x14ac:dyDescent="0.2">
      <c r="A97" s="43"/>
      <c r="B97" s="43"/>
      <c r="C97" s="39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hidden="1" x14ac:dyDescent="0.2">
      <c r="A98" s="43"/>
      <c r="B98" s="43"/>
      <c r="C98" s="39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hidden="1" x14ac:dyDescent="0.2">
      <c r="A99" s="43"/>
      <c r="B99" s="43"/>
      <c r="C99" s="3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hidden="1" x14ac:dyDescent="0.2">
      <c r="A100" s="43"/>
      <c r="B100" s="43"/>
      <c r="C100" s="39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hidden="1" x14ac:dyDescent="0.2">
      <c r="A101" s="43"/>
      <c r="B101" s="43"/>
      <c r="C101" s="39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idden="1" x14ac:dyDescent="0.2">
      <c r="A102" s="43"/>
      <c r="B102" s="43"/>
      <c r="C102" s="39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idden="1" x14ac:dyDescent="0.2">
      <c r="A103" s="43"/>
      <c r="B103" s="43"/>
      <c r="C103" s="39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</sheetData>
  <sheetProtection algorithmName="SHA-512" hashValue="9KuhRgZapJ4wuA94BvEYl4Vh+jyaAQdbhJZvpeb46Dod63w/27CCA4bbpGI5rtlVCcbm2tCU9kxmpjQAtVk7eA==" saltValue="sDgUMI7vYL6PpVHWbbuD+A==" spinCount="100000" sheet="1" objects="1" scenarios="1" selectLockedCells="1"/>
  <mergeCells count="3">
    <mergeCell ref="A2:B2"/>
    <mergeCell ref="A4:B4"/>
    <mergeCell ref="A12:B12"/>
  </mergeCells>
  <dataValidations count="2">
    <dataValidation type="list" allowBlank="1" showInputMessage="1" showErrorMessage="1" sqref="B10">
      <formula1>$V$2:$V$4</formula1>
    </dataValidation>
    <dataValidation type="whole" allowBlank="1" showInputMessage="1" showErrorMessage="1" errorTitle="Input Error" error="Enter a value without decimals" sqref="B7:B9">
      <formula1>0</formula1>
      <formula2>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36"/>
  <sheetViews>
    <sheetView workbookViewId="0">
      <selection activeCell="C2" sqref="C2"/>
    </sheetView>
  </sheetViews>
  <sheetFormatPr defaultColWidth="0" defaultRowHeight="11.25" zeroHeight="1" x14ac:dyDescent="0.2"/>
  <cols>
    <col min="1" max="1" width="9.140625" style="10" customWidth="1"/>
    <col min="2" max="2" width="38.28515625" style="10" customWidth="1"/>
    <col min="3" max="3" width="17.28515625" style="10" customWidth="1"/>
    <col min="4" max="7" width="9.140625" style="10" customWidth="1"/>
    <col min="8" max="8" width="10" style="10" bestFit="1" customWidth="1"/>
    <col min="9" max="18" width="9.140625" style="10" customWidth="1"/>
    <col min="19" max="21" width="0" style="10" hidden="1" customWidth="1"/>
    <col min="22" max="16384" width="9.140625" style="10" hidden="1"/>
  </cols>
  <sheetData>
    <row r="1" spans="1:21" ht="12" customHeight="1" thickBot="1" x14ac:dyDescent="0.25"/>
    <row r="2" spans="1:21" x14ac:dyDescent="0.2">
      <c r="B2" s="37" t="s">
        <v>141</v>
      </c>
      <c r="C2" s="134">
        <v>40</v>
      </c>
      <c r="D2" s="16"/>
      <c r="E2" s="16"/>
    </row>
    <row r="3" spans="1:21" ht="12" thickBot="1" x14ac:dyDescent="0.25">
      <c r="A3" s="143"/>
      <c r="B3" s="144" t="s">
        <v>142</v>
      </c>
      <c r="C3" s="174" t="s">
        <v>178</v>
      </c>
      <c r="D3" s="145"/>
      <c r="E3" s="16"/>
      <c r="O3" s="146"/>
    </row>
    <row r="4" spans="1:21" hidden="1" x14ac:dyDescent="0.2">
      <c r="A4" s="143"/>
      <c r="B4" s="245" t="s">
        <v>36</v>
      </c>
      <c r="C4" s="147" t="s">
        <v>37</v>
      </c>
      <c r="D4" s="148" t="s">
        <v>38</v>
      </c>
      <c r="E4" s="149" t="s">
        <v>39</v>
      </c>
      <c r="O4" s="146"/>
    </row>
    <row r="5" spans="1:21" ht="12" hidden="1" thickBot="1" x14ac:dyDescent="0.25">
      <c r="A5" s="143"/>
      <c r="B5" s="246"/>
      <c r="C5" s="21">
        <v>1000</v>
      </c>
      <c r="D5" s="21">
        <v>0</v>
      </c>
      <c r="E5" s="21">
        <f>SUM(C5+D5)</f>
        <v>1000</v>
      </c>
      <c r="O5" s="146"/>
      <c r="T5" s="85"/>
    </row>
    <row r="6" spans="1:21" ht="12" thickBot="1" x14ac:dyDescent="0.25">
      <c r="A6" s="143"/>
      <c r="O6" s="146"/>
      <c r="P6" s="150">
        <f>COUNT(C9:N9)</f>
        <v>12</v>
      </c>
      <c r="Q6" s="143"/>
    </row>
    <row r="7" spans="1:21" ht="15" customHeight="1" thickTop="1" x14ac:dyDescent="0.2">
      <c r="A7" s="247" t="s">
        <v>40</v>
      </c>
      <c r="B7" s="249" t="s">
        <v>41</v>
      </c>
      <c r="C7" s="234" t="s">
        <v>42</v>
      </c>
      <c r="D7" s="234" t="s">
        <v>43</v>
      </c>
      <c r="E7" s="234" t="s">
        <v>44</v>
      </c>
      <c r="F7" s="234" t="s">
        <v>45</v>
      </c>
      <c r="G7" s="234" t="s">
        <v>46</v>
      </c>
      <c r="H7" s="234" t="s">
        <v>47</v>
      </c>
      <c r="I7" s="234" t="s">
        <v>48</v>
      </c>
      <c r="J7" s="234" t="s">
        <v>49</v>
      </c>
      <c r="K7" s="234" t="s">
        <v>50</v>
      </c>
      <c r="L7" s="234" t="s">
        <v>51</v>
      </c>
      <c r="M7" s="234" t="s">
        <v>52</v>
      </c>
      <c r="N7" s="236" t="s">
        <v>53</v>
      </c>
      <c r="O7" s="238" t="s">
        <v>54</v>
      </c>
      <c r="P7" s="151" t="s">
        <v>55</v>
      </c>
      <c r="Q7" s="240" t="s">
        <v>40</v>
      </c>
      <c r="U7" s="85"/>
    </row>
    <row r="8" spans="1:21" ht="15.75" customHeight="1" x14ac:dyDescent="0.2">
      <c r="A8" s="248"/>
      <c r="B8" s="250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7"/>
      <c r="O8" s="239"/>
      <c r="P8" s="182" t="s">
        <v>56</v>
      </c>
      <c r="Q8" s="241"/>
      <c r="T8" s="85"/>
    </row>
    <row r="9" spans="1:21" ht="15.75" customHeight="1" x14ac:dyDescent="0.2">
      <c r="A9" s="152"/>
      <c r="B9" s="153" t="s">
        <v>67</v>
      </c>
      <c r="C9" s="175">
        <v>8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54"/>
      <c r="P9" s="155"/>
      <c r="Q9" s="156"/>
    </row>
    <row r="10" spans="1:21" ht="15.75" customHeight="1" x14ac:dyDescent="0.2">
      <c r="A10" s="152"/>
      <c r="B10" s="153"/>
      <c r="C10" s="176">
        <f>IF(C9-2&lt;0,0,C9-2)</f>
        <v>6</v>
      </c>
      <c r="D10" s="176">
        <f t="shared" ref="D10:N10" si="0">IF(D9-2&lt;0,0,D9-2)</f>
        <v>0</v>
      </c>
      <c r="E10" s="176">
        <f t="shared" si="0"/>
        <v>0</v>
      </c>
      <c r="F10" s="176">
        <f t="shared" si="0"/>
        <v>0</v>
      </c>
      <c r="G10" s="176">
        <f t="shared" si="0"/>
        <v>0</v>
      </c>
      <c r="H10" s="176">
        <f t="shared" si="0"/>
        <v>0</v>
      </c>
      <c r="I10" s="176">
        <f t="shared" si="0"/>
        <v>0</v>
      </c>
      <c r="J10" s="176">
        <f t="shared" si="0"/>
        <v>0</v>
      </c>
      <c r="K10" s="176">
        <f t="shared" si="0"/>
        <v>0</v>
      </c>
      <c r="L10" s="176">
        <f t="shared" si="0"/>
        <v>0</v>
      </c>
      <c r="M10" s="176">
        <f t="shared" si="0"/>
        <v>0</v>
      </c>
      <c r="N10" s="176">
        <f t="shared" si="0"/>
        <v>0</v>
      </c>
      <c r="O10" s="154"/>
      <c r="P10" s="155"/>
      <c r="Q10" s="156"/>
    </row>
    <row r="11" spans="1:21" ht="12.75" customHeight="1" x14ac:dyDescent="0.2">
      <c r="A11" s="157">
        <v>4116</v>
      </c>
      <c r="B11" s="153" t="s">
        <v>168</v>
      </c>
      <c r="C11" s="176">
        <f>SUM(IF(C9&lt;3,C9*286,(2*286)+(192*(C9-2)))*C13)</f>
        <v>1724</v>
      </c>
      <c r="D11" s="176">
        <f t="shared" ref="D11:N11" si="1">SUM(IF(D9&lt;3,D9*286,(2*286)+(192*(D9-2)))*D13)</f>
        <v>0</v>
      </c>
      <c r="E11" s="176">
        <f t="shared" si="1"/>
        <v>0</v>
      </c>
      <c r="F11" s="176">
        <f t="shared" si="1"/>
        <v>0</v>
      </c>
      <c r="G11" s="176">
        <f t="shared" si="1"/>
        <v>0</v>
      </c>
      <c r="H11" s="176">
        <f t="shared" si="1"/>
        <v>0</v>
      </c>
      <c r="I11" s="176">
        <f t="shared" si="1"/>
        <v>0</v>
      </c>
      <c r="J11" s="176">
        <f t="shared" si="1"/>
        <v>0</v>
      </c>
      <c r="K11" s="176">
        <f t="shared" si="1"/>
        <v>0</v>
      </c>
      <c r="L11" s="176">
        <f t="shared" si="1"/>
        <v>0</v>
      </c>
      <c r="M11" s="176">
        <f t="shared" si="1"/>
        <v>0</v>
      </c>
      <c r="N11" s="176">
        <f t="shared" si="1"/>
        <v>0</v>
      </c>
      <c r="O11" s="183">
        <f>SUM(C11:N11)</f>
        <v>1724</v>
      </c>
      <c r="P11" s="188">
        <f>SUM(C11:N11)/$P6*12</f>
        <v>1724</v>
      </c>
      <c r="Q11" s="196">
        <v>4116</v>
      </c>
    </row>
    <row r="12" spans="1:21" ht="12.75" customHeight="1" x14ac:dyDescent="0.2">
      <c r="A12" s="158">
        <v>4120</v>
      </c>
      <c r="B12" s="153" t="s">
        <v>177</v>
      </c>
      <c r="C12" s="176">
        <f t="shared" ref="C12:N12" si="2">IF(C15&gt;0,C15,0)</f>
        <v>0</v>
      </c>
      <c r="D12" s="176">
        <f t="shared" si="2"/>
        <v>0</v>
      </c>
      <c r="E12" s="176">
        <f t="shared" si="2"/>
        <v>0</v>
      </c>
      <c r="F12" s="176">
        <f t="shared" si="2"/>
        <v>0</v>
      </c>
      <c r="G12" s="176">
        <f t="shared" si="2"/>
        <v>0</v>
      </c>
      <c r="H12" s="176">
        <f t="shared" si="2"/>
        <v>0</v>
      </c>
      <c r="I12" s="176">
        <f t="shared" si="2"/>
        <v>0</v>
      </c>
      <c r="J12" s="176">
        <f t="shared" si="2"/>
        <v>0</v>
      </c>
      <c r="K12" s="176">
        <f t="shared" si="2"/>
        <v>0</v>
      </c>
      <c r="L12" s="176">
        <f t="shared" si="2"/>
        <v>0</v>
      </c>
      <c r="M12" s="176">
        <f t="shared" si="2"/>
        <v>0</v>
      </c>
      <c r="N12" s="176">
        <f t="shared" si="2"/>
        <v>0</v>
      </c>
      <c r="O12" s="183">
        <f>SUM(C12:N12)</f>
        <v>0</v>
      </c>
      <c r="P12" s="188">
        <f>SUM(C12:N12)/$P6*12</f>
        <v>0</v>
      </c>
      <c r="Q12" s="196">
        <v>4120</v>
      </c>
    </row>
    <row r="13" spans="1:21" ht="12.75" hidden="1" customHeight="1" x14ac:dyDescent="0.2">
      <c r="A13" s="158"/>
      <c r="B13" s="153"/>
      <c r="C13" s="176">
        <f>IF($C3="Y",IF(C18&gt;0,1,0),1)</f>
        <v>1</v>
      </c>
      <c r="D13" s="176">
        <f t="shared" ref="D13:N13" si="3">IF($C3="Y",IF(D18&gt;0,1,0),1)</f>
        <v>1</v>
      </c>
      <c r="E13" s="176">
        <f t="shared" si="3"/>
        <v>1</v>
      </c>
      <c r="F13" s="176">
        <f t="shared" si="3"/>
        <v>1</v>
      </c>
      <c r="G13" s="176">
        <f t="shared" si="3"/>
        <v>1</v>
      </c>
      <c r="H13" s="176">
        <f t="shared" si="3"/>
        <v>1</v>
      </c>
      <c r="I13" s="176">
        <f t="shared" si="3"/>
        <v>1</v>
      </c>
      <c r="J13" s="176">
        <f t="shared" si="3"/>
        <v>1</v>
      </c>
      <c r="K13" s="176">
        <f t="shared" si="3"/>
        <v>1</v>
      </c>
      <c r="L13" s="176">
        <f t="shared" si="3"/>
        <v>1</v>
      </c>
      <c r="M13" s="176">
        <f t="shared" si="3"/>
        <v>1</v>
      </c>
      <c r="N13" s="176">
        <f t="shared" si="3"/>
        <v>1</v>
      </c>
      <c r="O13" s="183"/>
      <c r="P13" s="188"/>
      <c r="Q13" s="197"/>
    </row>
    <row r="14" spans="1:21" ht="12.75" hidden="1" customHeight="1" x14ac:dyDescent="0.2">
      <c r="A14" s="158"/>
      <c r="B14" s="153"/>
      <c r="C14" s="176">
        <f>IF($C2&gt;64,((C19-(3*C11))*0.333),0)</f>
        <v>0</v>
      </c>
      <c r="D14" s="176">
        <f>IF($C2&gt;64,((D19-(3*D11))*0.333),0)</f>
        <v>0</v>
      </c>
      <c r="E14" s="176">
        <f t="shared" ref="E14:N14" si="4">IF($C2&gt;64,((E19-(3*E11))*0.333),0)</f>
        <v>0</v>
      </c>
      <c r="F14" s="176">
        <f t="shared" si="4"/>
        <v>0</v>
      </c>
      <c r="G14" s="176">
        <f t="shared" si="4"/>
        <v>0</v>
      </c>
      <c r="H14" s="176">
        <f t="shared" si="4"/>
        <v>0</v>
      </c>
      <c r="I14" s="176">
        <f t="shared" si="4"/>
        <v>0</v>
      </c>
      <c r="J14" s="176">
        <f t="shared" si="4"/>
        <v>0</v>
      </c>
      <c r="K14" s="176">
        <f t="shared" si="4"/>
        <v>0</v>
      </c>
      <c r="L14" s="176">
        <f t="shared" si="4"/>
        <v>0</v>
      </c>
      <c r="M14" s="176">
        <f t="shared" si="4"/>
        <v>0</v>
      </c>
      <c r="N14" s="176">
        <f t="shared" si="4"/>
        <v>0</v>
      </c>
      <c r="O14" s="183"/>
      <c r="P14" s="188"/>
      <c r="Q14" s="197"/>
    </row>
    <row r="15" spans="1:21" ht="12.75" hidden="1" customHeight="1" x14ac:dyDescent="0.2">
      <c r="A15" s="158"/>
      <c r="B15" s="159"/>
      <c r="C15" s="198">
        <f>SUM(C13*C14)</f>
        <v>0</v>
      </c>
      <c r="D15" s="198">
        <f t="shared" ref="D15:N15" si="5">SUM(D13*D14)</f>
        <v>0</v>
      </c>
      <c r="E15" s="198">
        <f t="shared" si="5"/>
        <v>0</v>
      </c>
      <c r="F15" s="198">
        <f t="shared" si="5"/>
        <v>0</v>
      </c>
      <c r="G15" s="198">
        <f t="shared" si="5"/>
        <v>0</v>
      </c>
      <c r="H15" s="198">
        <f t="shared" si="5"/>
        <v>0</v>
      </c>
      <c r="I15" s="198">
        <f t="shared" si="5"/>
        <v>0</v>
      </c>
      <c r="J15" s="198">
        <f t="shared" si="5"/>
        <v>0</v>
      </c>
      <c r="K15" s="198">
        <f t="shared" si="5"/>
        <v>0</v>
      </c>
      <c r="L15" s="198">
        <f t="shared" si="5"/>
        <v>0</v>
      </c>
      <c r="M15" s="198">
        <f t="shared" si="5"/>
        <v>0</v>
      </c>
      <c r="N15" s="198">
        <f t="shared" si="5"/>
        <v>0</v>
      </c>
      <c r="O15" s="183"/>
      <c r="P15" s="188"/>
      <c r="Q15" s="160"/>
      <c r="U15" s="161"/>
    </row>
    <row r="16" spans="1:21" x14ac:dyDescent="0.2">
      <c r="A16" s="158" t="str">
        <f>IF(C3="Y","4493","4474")</f>
        <v>4474</v>
      </c>
      <c r="B16" s="162" t="s">
        <v>57</v>
      </c>
      <c r="C16" s="134">
        <v>5000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83">
        <f t="shared" ref="O16:O25" si="6">SUM(C16:N16)</f>
        <v>5000</v>
      </c>
      <c r="P16" s="188">
        <f>SUM(C16:N16)/$P6*12</f>
        <v>5000</v>
      </c>
      <c r="Q16" s="160" t="str">
        <f>IF(C3="Y","4493","4474")</f>
        <v>4474</v>
      </c>
    </row>
    <row r="17" spans="1:18" x14ac:dyDescent="0.2">
      <c r="A17" s="163">
        <v>3810</v>
      </c>
      <c r="B17" s="164" t="s">
        <v>143</v>
      </c>
      <c r="C17" s="116">
        <f>IF($C3="Y",0,C16)</f>
        <v>5000</v>
      </c>
      <c r="D17" s="116">
        <f t="shared" ref="D17:N17" si="7">IF($C3="Y",0,D16)</f>
        <v>0</v>
      </c>
      <c r="E17" s="116">
        <f t="shared" si="7"/>
        <v>0</v>
      </c>
      <c r="F17" s="116">
        <f t="shared" si="7"/>
        <v>0</v>
      </c>
      <c r="G17" s="116">
        <f t="shared" si="7"/>
        <v>0</v>
      </c>
      <c r="H17" s="116">
        <f t="shared" si="7"/>
        <v>0</v>
      </c>
      <c r="I17" s="116">
        <f t="shared" si="7"/>
        <v>0</v>
      </c>
      <c r="J17" s="116">
        <f t="shared" si="7"/>
        <v>0</v>
      </c>
      <c r="K17" s="116">
        <f t="shared" si="7"/>
        <v>0</v>
      </c>
      <c r="L17" s="116">
        <f t="shared" si="7"/>
        <v>0</v>
      </c>
      <c r="M17" s="116">
        <f t="shared" si="7"/>
        <v>0</v>
      </c>
      <c r="N17" s="116">
        <f t="shared" si="7"/>
        <v>0</v>
      </c>
      <c r="O17" s="183">
        <f t="shared" si="6"/>
        <v>5000</v>
      </c>
      <c r="P17" s="189">
        <f>(IF((P16-P15)&lt;0,0,(P16-P15)))</f>
        <v>5000</v>
      </c>
      <c r="Q17" s="165">
        <v>3810</v>
      </c>
    </row>
    <row r="18" spans="1:18" x14ac:dyDescent="0.2">
      <c r="A18" s="166" t="s">
        <v>65</v>
      </c>
      <c r="B18" s="162" t="s">
        <v>131</v>
      </c>
      <c r="C18" s="134">
        <v>5000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84">
        <f t="shared" si="6"/>
        <v>5000</v>
      </c>
      <c r="P18" s="188">
        <f>SUM(C18:N18)/$P6*12</f>
        <v>5000</v>
      </c>
      <c r="Q18" s="167"/>
    </row>
    <row r="19" spans="1:18" ht="22.5" x14ac:dyDescent="0.2">
      <c r="A19" s="163">
        <v>4005</v>
      </c>
      <c r="B19" s="164" t="s">
        <v>123</v>
      </c>
      <c r="C19" s="116">
        <f>C17+C18</f>
        <v>10000</v>
      </c>
      <c r="D19" s="116">
        <f t="shared" ref="D19:N19" si="8">D17+D18</f>
        <v>0</v>
      </c>
      <c r="E19" s="116">
        <f t="shared" si="8"/>
        <v>0</v>
      </c>
      <c r="F19" s="116">
        <f t="shared" si="8"/>
        <v>0</v>
      </c>
      <c r="G19" s="116">
        <f t="shared" si="8"/>
        <v>0</v>
      </c>
      <c r="H19" s="116">
        <f t="shared" si="8"/>
        <v>0</v>
      </c>
      <c r="I19" s="116">
        <f t="shared" si="8"/>
        <v>0</v>
      </c>
      <c r="J19" s="116">
        <f t="shared" si="8"/>
        <v>0</v>
      </c>
      <c r="K19" s="116">
        <f t="shared" si="8"/>
        <v>0</v>
      </c>
      <c r="L19" s="116">
        <f t="shared" si="8"/>
        <v>0</v>
      </c>
      <c r="M19" s="116">
        <f t="shared" si="8"/>
        <v>0</v>
      </c>
      <c r="N19" s="116">
        <f t="shared" si="8"/>
        <v>0</v>
      </c>
      <c r="O19" s="183">
        <f t="shared" si="6"/>
        <v>10000</v>
      </c>
      <c r="P19" s="189">
        <f xml:space="preserve"> SUM(P17:P18)</f>
        <v>10000</v>
      </c>
      <c r="Q19" s="165">
        <v>4005</v>
      </c>
    </row>
    <row r="20" spans="1:18" x14ac:dyDescent="0.2">
      <c r="A20" s="163"/>
      <c r="B20" s="164" t="s">
        <v>58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0</v>
      </c>
      <c r="L20" s="177">
        <v>0</v>
      </c>
      <c r="M20" s="177">
        <v>0</v>
      </c>
      <c r="N20" s="177">
        <v>0</v>
      </c>
      <c r="O20" s="183">
        <f t="shared" si="6"/>
        <v>0</v>
      </c>
      <c r="P20" s="189">
        <f>(IF(IF(P15-P16&lt;0,0,P15-P16)-P19&lt;0,(IF(P15-P16&lt;0,0,P15-P16)),P19))</f>
        <v>0</v>
      </c>
      <c r="Q20" s="165"/>
    </row>
    <row r="21" spans="1:18" x14ac:dyDescent="0.2">
      <c r="A21" s="158">
        <v>4024</v>
      </c>
      <c r="B21" s="168" t="s">
        <v>59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83">
        <f t="shared" si="6"/>
        <v>0</v>
      </c>
      <c r="P21" s="188">
        <f>SUM(C21:N21)/$P6*12</f>
        <v>0</v>
      </c>
      <c r="Q21" s="160">
        <v>4024</v>
      </c>
      <c r="R21" s="85"/>
    </row>
    <row r="22" spans="1:18" x14ac:dyDescent="0.2">
      <c r="A22" s="158"/>
      <c r="B22" s="168" t="s">
        <v>60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83">
        <f t="shared" si="6"/>
        <v>0</v>
      </c>
      <c r="P22" s="188">
        <f>SUM(C22:N22)/$P6*12</f>
        <v>0</v>
      </c>
      <c r="Q22" s="160"/>
      <c r="R22" s="85"/>
    </row>
    <row r="23" spans="1:18" x14ac:dyDescent="0.2">
      <c r="A23" s="158"/>
      <c r="B23" s="168" t="s">
        <v>61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83">
        <f t="shared" si="6"/>
        <v>0</v>
      </c>
      <c r="P23" s="188">
        <f>SUM(C23:N23)/$P6*12</f>
        <v>0</v>
      </c>
      <c r="Q23" s="160"/>
    </row>
    <row r="24" spans="1:18" ht="12" thickBot="1" x14ac:dyDescent="0.25">
      <c r="A24" s="169">
        <v>3813</v>
      </c>
      <c r="B24" s="170" t="s">
        <v>62</v>
      </c>
      <c r="C24" s="178">
        <f xml:space="preserve"> SUM(C21:C22)</f>
        <v>0</v>
      </c>
      <c r="D24" s="178">
        <f t="shared" ref="D24:N24" si="9" xml:space="preserve"> SUM(D21:D22)</f>
        <v>0</v>
      </c>
      <c r="E24" s="178">
        <f t="shared" si="9"/>
        <v>0</v>
      </c>
      <c r="F24" s="178">
        <f t="shared" si="9"/>
        <v>0</v>
      </c>
      <c r="G24" s="178">
        <f t="shared" si="9"/>
        <v>0</v>
      </c>
      <c r="H24" s="178">
        <f t="shared" si="9"/>
        <v>0</v>
      </c>
      <c r="I24" s="178">
        <f t="shared" si="9"/>
        <v>0</v>
      </c>
      <c r="J24" s="178">
        <f t="shared" si="9"/>
        <v>0</v>
      </c>
      <c r="K24" s="178">
        <f t="shared" si="9"/>
        <v>0</v>
      </c>
      <c r="L24" s="178">
        <f t="shared" si="9"/>
        <v>0</v>
      </c>
      <c r="M24" s="178">
        <f t="shared" si="9"/>
        <v>0</v>
      </c>
      <c r="N24" s="178">
        <f t="shared" si="9"/>
        <v>0</v>
      </c>
      <c r="O24" s="185">
        <f t="shared" si="6"/>
        <v>0</v>
      </c>
      <c r="P24" s="190">
        <f xml:space="preserve"> SUM(P21:P22)</f>
        <v>0</v>
      </c>
      <c r="Q24" s="171">
        <v>3813</v>
      </c>
    </row>
    <row r="25" spans="1:18" ht="41.25" customHeight="1" thickTop="1" thickBot="1" x14ac:dyDescent="0.25">
      <c r="A25" s="8"/>
      <c r="B25" s="172" t="s">
        <v>63</v>
      </c>
      <c r="C25" s="179">
        <f>C17-C20+C24</f>
        <v>5000</v>
      </c>
      <c r="D25" s="179">
        <f t="shared" ref="D25:N25" si="10">D17-D20+D24</f>
        <v>0</v>
      </c>
      <c r="E25" s="179">
        <f t="shared" si="10"/>
        <v>0</v>
      </c>
      <c r="F25" s="179">
        <f t="shared" si="10"/>
        <v>0</v>
      </c>
      <c r="G25" s="179">
        <f t="shared" si="10"/>
        <v>0</v>
      </c>
      <c r="H25" s="179">
        <f t="shared" si="10"/>
        <v>0</v>
      </c>
      <c r="I25" s="179">
        <f t="shared" si="10"/>
        <v>0</v>
      </c>
      <c r="J25" s="179">
        <f t="shared" si="10"/>
        <v>0</v>
      </c>
      <c r="K25" s="179">
        <f t="shared" si="10"/>
        <v>0</v>
      </c>
      <c r="L25" s="179">
        <f t="shared" si="10"/>
        <v>0</v>
      </c>
      <c r="M25" s="179">
        <f t="shared" si="10"/>
        <v>0</v>
      </c>
      <c r="N25" s="179">
        <f t="shared" si="10"/>
        <v>0</v>
      </c>
      <c r="O25" s="186">
        <f t="shared" si="6"/>
        <v>5000</v>
      </c>
      <c r="P25" s="192">
        <f>(P17-P20+P24)/12*P6</f>
        <v>5000</v>
      </c>
      <c r="Q25" s="9"/>
    </row>
    <row r="26" spans="1:18" ht="12.75" thickTop="1" thickBot="1" x14ac:dyDescent="0.25">
      <c r="A26" s="143"/>
      <c r="O26" s="146"/>
      <c r="Q26" s="143"/>
    </row>
    <row r="27" spans="1:18" ht="12" thickBot="1" x14ac:dyDescent="0.25">
      <c r="A27" s="242" t="s">
        <v>64</v>
      </c>
      <c r="B27" s="243"/>
      <c r="C27" s="243"/>
      <c r="D27" s="244"/>
      <c r="O27" s="146"/>
    </row>
    <row r="28" spans="1:18" x14ac:dyDescent="0.2">
      <c r="A28" s="180"/>
      <c r="B28" s="225" t="s">
        <v>66</v>
      </c>
      <c r="C28" s="225"/>
      <c r="D28" s="226"/>
      <c r="O28" s="146"/>
    </row>
    <row r="29" spans="1:18" x14ac:dyDescent="0.2">
      <c r="A29" s="181"/>
      <c r="B29" s="227" t="s">
        <v>120</v>
      </c>
      <c r="C29" s="227"/>
      <c r="D29" s="228"/>
      <c r="H29" s="173"/>
      <c r="I29" s="173"/>
      <c r="J29" s="173"/>
      <c r="K29" s="173"/>
      <c r="O29" s="146"/>
    </row>
    <row r="30" spans="1:18" x14ac:dyDescent="0.2">
      <c r="A30" s="187"/>
      <c r="B30" s="229" t="s">
        <v>121</v>
      </c>
      <c r="C30" s="230"/>
      <c r="D30" s="231"/>
      <c r="H30" s="173"/>
      <c r="I30" s="173"/>
      <c r="J30" s="173"/>
      <c r="K30" s="173"/>
      <c r="O30" s="146"/>
    </row>
    <row r="31" spans="1:18" x14ac:dyDescent="0.2">
      <c r="A31" s="191"/>
      <c r="B31" s="227" t="s">
        <v>122</v>
      </c>
      <c r="C31" s="232"/>
      <c r="D31" s="233"/>
      <c r="H31" s="173"/>
      <c r="I31" s="173"/>
      <c r="J31" s="173"/>
      <c r="K31" s="173"/>
      <c r="O31" s="146"/>
    </row>
    <row r="32" spans="1:18" x14ac:dyDescent="0.2">
      <c r="A32" s="193"/>
      <c r="B32" s="227" t="s">
        <v>124</v>
      </c>
      <c r="C32" s="232"/>
      <c r="D32" s="233"/>
      <c r="H32" s="173"/>
      <c r="I32" s="173"/>
      <c r="J32" s="173"/>
      <c r="K32" s="173"/>
      <c r="O32" s="146"/>
    </row>
    <row r="33" x14ac:dyDescent="0.2"/>
    <row r="34" x14ac:dyDescent="0.2"/>
    <row r="35" x14ac:dyDescent="0.2"/>
    <row r="36" x14ac:dyDescent="0.2"/>
  </sheetData>
  <sheetProtection algorithmName="SHA-512" hashValue="CzTnFr66ND6fkwPeafl+OiyA90D6tjL4ohXerlWDYrJANuZKpctg7b4zc10UhqxmDI7bRGhfiKsuLct5TtPhsw==" saltValue="2sHvvOxFH59nJ8ISBVojUw==" spinCount="100000" sheet="1" objects="1" scenarios="1" selectLockedCells="1"/>
  <mergeCells count="23">
    <mergeCell ref="J7:J8"/>
    <mergeCell ref="K7:K8"/>
    <mergeCell ref="B4:B5"/>
    <mergeCell ref="A7:A8"/>
    <mergeCell ref="B7:B8"/>
    <mergeCell ref="C7:C8"/>
    <mergeCell ref="D7:D8"/>
    <mergeCell ref="E7:E8"/>
    <mergeCell ref="A27:D27"/>
    <mergeCell ref="F7:F8"/>
    <mergeCell ref="G7:G8"/>
    <mergeCell ref="H7:H8"/>
    <mergeCell ref="I7:I8"/>
    <mergeCell ref="L7:L8"/>
    <mergeCell ref="M7:M8"/>
    <mergeCell ref="N7:N8"/>
    <mergeCell ref="O7:O8"/>
    <mergeCell ref="Q7:Q8"/>
    <mergeCell ref="B28:D28"/>
    <mergeCell ref="B29:D29"/>
    <mergeCell ref="B30:D30"/>
    <mergeCell ref="B31:D31"/>
    <mergeCell ref="B32:D32"/>
  </mergeCells>
  <pageMargins left="0.7" right="0.7" top="0.75" bottom="0.75" header="0.3" footer="0.3"/>
  <pageSetup orientation="portrait" r:id="rId1"/>
  <ignoredErrors>
    <ignoredError sqref="C24:N24" formulaRange="1"/>
    <ignoredError sqref="O24" formula="1"/>
    <ignoredError sqref="E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2"/>
  <sheetViews>
    <sheetView showGridLines="0" showRowColHeaders="0" zoomScaleNormal="100" workbookViewId="0">
      <selection activeCell="A9" sqref="A9"/>
    </sheetView>
  </sheetViews>
  <sheetFormatPr defaultColWidth="0" defaultRowHeight="11.25" zeroHeight="1" x14ac:dyDescent="0.2"/>
  <cols>
    <col min="1" max="1" width="16.7109375" style="4" customWidth="1"/>
    <col min="2" max="2" width="15.28515625" style="3" customWidth="1"/>
    <col min="3" max="3" width="15.5703125" style="7" customWidth="1"/>
    <col min="4" max="4" width="15.7109375" style="7" customWidth="1"/>
    <col min="5" max="5" width="4.7109375" style="3" customWidth="1"/>
    <col min="6" max="16384" width="9.140625" style="3" hidden="1"/>
  </cols>
  <sheetData>
    <row r="1" spans="1:4" x14ac:dyDescent="0.2">
      <c r="A1" s="75" t="s">
        <v>17</v>
      </c>
      <c r="B1" s="76" t="s">
        <v>1</v>
      </c>
      <c r="C1" s="77" t="s">
        <v>2</v>
      </c>
      <c r="D1" s="77" t="s">
        <v>3</v>
      </c>
    </row>
    <row r="2" spans="1:4" x14ac:dyDescent="0.2">
      <c r="A2" s="78">
        <v>0</v>
      </c>
      <c r="B2" s="79">
        <v>26675</v>
      </c>
      <c r="C2" s="80">
        <v>0.82399999999999995</v>
      </c>
      <c r="D2" s="81">
        <v>0.308</v>
      </c>
    </row>
    <row r="3" spans="1:4" x14ac:dyDescent="0.2">
      <c r="A3" s="78">
        <v>80001</v>
      </c>
      <c r="B3" s="79">
        <v>47644</v>
      </c>
      <c r="C3" s="80">
        <v>0.92</v>
      </c>
      <c r="D3" s="81">
        <v>0.38600000000000001</v>
      </c>
    </row>
    <row r="4" spans="1:4" x14ac:dyDescent="0.2">
      <c r="A4" s="78">
        <v>160001</v>
      </c>
      <c r="B4" s="79">
        <v>68684</v>
      </c>
      <c r="C4" s="80">
        <v>1</v>
      </c>
      <c r="D4" s="81">
        <v>0.42499999999999999</v>
      </c>
    </row>
    <row r="5" spans="1:4" x14ac:dyDescent="0.2">
      <c r="A5" s="78">
        <v>240001</v>
      </c>
      <c r="B5" s="79">
        <v>87223</v>
      </c>
      <c r="C5" s="80">
        <v>1.075</v>
      </c>
      <c r="D5" s="81">
        <v>0.46400000000000002</v>
      </c>
    </row>
    <row r="6" spans="1:4" x14ac:dyDescent="0.2">
      <c r="A6" s="78">
        <v>320001</v>
      </c>
      <c r="B6" s="79">
        <v>105822</v>
      </c>
      <c r="C6" s="80">
        <v>1.1499999999999999</v>
      </c>
      <c r="D6" s="81">
        <v>0.54500000000000004</v>
      </c>
    </row>
    <row r="7" spans="1:4" x14ac:dyDescent="0.2">
      <c r="A7" s="78">
        <v>400001</v>
      </c>
      <c r="B7" s="79">
        <v>125303</v>
      </c>
      <c r="C7" s="80">
        <v>1.32</v>
      </c>
      <c r="D7" s="81">
        <v>0.64</v>
      </c>
    </row>
    <row r="8" spans="1:4" x14ac:dyDescent="0.2">
      <c r="A8" s="78">
        <v>480001</v>
      </c>
      <c r="B8" s="79">
        <v>144784</v>
      </c>
      <c r="C8" s="80">
        <v>1.365</v>
      </c>
      <c r="D8" s="81">
        <v>0.79500000000000004</v>
      </c>
    </row>
    <row r="9" spans="1:4" x14ac:dyDescent="0.2">
      <c r="A9" s="78">
        <v>560001</v>
      </c>
      <c r="B9" s="79">
        <v>144784</v>
      </c>
      <c r="C9" s="80">
        <v>1.365</v>
      </c>
      <c r="D9" s="81">
        <v>0.79500000000000004</v>
      </c>
    </row>
    <row r="10" spans="1:4" x14ac:dyDescent="0.2">
      <c r="B10" s="5"/>
      <c r="C10" s="6"/>
    </row>
    <row r="11" spans="1:4" x14ac:dyDescent="0.2">
      <c r="B11" s="6"/>
      <c r="C11" s="6"/>
    </row>
    <row r="12" spans="1:4" x14ac:dyDescent="0.2"/>
  </sheetData>
  <sheetProtection algorithmName="SHA-512" hashValue="vw+7Rqc/nsdBXvaI+F6ICUpCUnkmhsrCx6XKvbRWINTVT1QkA+zojixXYciRIGBIogKCebKZRebmY69D6w92ew==" saltValue="GX5CzL+PrHladQz+pZFeW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9"/>
  <sheetViews>
    <sheetView showGridLines="0" zoomScaleNormal="100" workbookViewId="0">
      <selection activeCell="F8" sqref="F8"/>
    </sheetView>
  </sheetViews>
  <sheetFormatPr defaultColWidth="0" defaultRowHeight="11.25" zeroHeight="1" x14ac:dyDescent="0.2"/>
  <cols>
    <col min="1" max="1" width="16.85546875" style="2" bestFit="1" customWidth="1"/>
    <col min="2" max="2" width="13.140625" style="2" bestFit="1" customWidth="1"/>
    <col min="3" max="3" width="8.42578125" style="2" customWidth="1"/>
    <col min="4" max="4" width="14.42578125" style="2" bestFit="1" customWidth="1"/>
    <col min="5" max="5" width="8.42578125" style="2" customWidth="1"/>
    <col min="6" max="6" width="15.85546875" style="2" customWidth="1"/>
    <col min="7" max="7" width="13.5703125" style="2" customWidth="1"/>
    <col min="8" max="8" width="12.42578125" style="2" customWidth="1"/>
    <col min="9" max="9" width="16" style="2" customWidth="1"/>
    <col min="10" max="10" width="9.85546875" style="2" customWidth="1"/>
    <col min="11" max="16384" width="40" style="2" hidden="1"/>
  </cols>
  <sheetData>
    <row r="1" spans="1:9" s="1" customFormat="1" x14ac:dyDescent="0.2">
      <c r="A1" s="82" t="s">
        <v>114</v>
      </c>
      <c r="B1" s="82" t="s">
        <v>115</v>
      </c>
      <c r="C1" s="82" t="s">
        <v>116</v>
      </c>
      <c r="D1" s="82" t="s">
        <v>117</v>
      </c>
      <c r="F1" s="82" t="s">
        <v>118</v>
      </c>
      <c r="G1" s="82" t="s">
        <v>167</v>
      </c>
      <c r="H1" s="82"/>
      <c r="I1" s="82"/>
    </row>
    <row r="2" spans="1:9" x14ac:dyDescent="0.2">
      <c r="A2" s="201">
        <v>0</v>
      </c>
      <c r="B2" s="201">
        <v>0</v>
      </c>
      <c r="C2" s="84">
        <v>0.18</v>
      </c>
      <c r="D2" s="83">
        <v>0</v>
      </c>
      <c r="F2" s="83">
        <v>0</v>
      </c>
      <c r="G2" s="83">
        <f>SUM(I2)</f>
        <v>13500</v>
      </c>
      <c r="H2" s="82" t="s">
        <v>164</v>
      </c>
      <c r="I2" s="201">
        <v>13500</v>
      </c>
    </row>
    <row r="3" spans="1:9" x14ac:dyDescent="0.2">
      <c r="A3" s="202">
        <v>188001</v>
      </c>
      <c r="B3" s="201">
        <v>33840</v>
      </c>
      <c r="C3" s="84">
        <v>0.26</v>
      </c>
      <c r="D3" s="203">
        <v>188000</v>
      </c>
      <c r="F3" s="83">
        <v>65</v>
      </c>
      <c r="G3" s="83">
        <f>SUM(I2+I3)</f>
        <v>20907</v>
      </c>
      <c r="H3" s="82" t="s">
        <v>165</v>
      </c>
      <c r="I3" s="201">
        <v>7407</v>
      </c>
    </row>
    <row r="4" spans="1:9" x14ac:dyDescent="0.2">
      <c r="A4" s="202">
        <v>293601</v>
      </c>
      <c r="B4" s="201">
        <v>61296</v>
      </c>
      <c r="C4" s="84">
        <v>0.31</v>
      </c>
      <c r="D4" s="203">
        <v>293600</v>
      </c>
      <c r="F4" s="83">
        <v>75</v>
      </c>
      <c r="G4" s="83">
        <f>SUM(I2+I3+I4)</f>
        <v>23373</v>
      </c>
      <c r="H4" s="82" t="s">
        <v>166</v>
      </c>
      <c r="I4" s="201">
        <v>2466</v>
      </c>
    </row>
    <row r="5" spans="1:9" x14ac:dyDescent="0.2">
      <c r="A5" s="202">
        <v>406401</v>
      </c>
      <c r="B5" s="201">
        <v>96264</v>
      </c>
      <c r="C5" s="84">
        <v>0.36</v>
      </c>
      <c r="D5" s="203">
        <v>406400</v>
      </c>
    </row>
    <row r="6" spans="1:9" x14ac:dyDescent="0.2">
      <c r="A6" s="202">
        <v>550101</v>
      </c>
      <c r="B6" s="201">
        <v>147996</v>
      </c>
      <c r="C6" s="84">
        <v>0.39</v>
      </c>
      <c r="D6" s="203">
        <v>550100</v>
      </c>
      <c r="F6" s="205" t="s">
        <v>179</v>
      </c>
      <c r="G6" s="199" t="s">
        <v>180</v>
      </c>
    </row>
    <row r="7" spans="1:9" x14ac:dyDescent="0.2">
      <c r="A7" s="202">
        <v>701301</v>
      </c>
      <c r="B7" s="201">
        <v>206964</v>
      </c>
      <c r="C7" s="84">
        <v>0.41</v>
      </c>
      <c r="D7" s="203">
        <v>701300</v>
      </c>
      <c r="F7" s="200" t="s">
        <v>181</v>
      </c>
      <c r="G7" s="204">
        <v>75000</v>
      </c>
    </row>
    <row r="8" spans="1:9" x14ac:dyDescent="0.2">
      <c r="A8" s="83"/>
      <c r="B8" s="83"/>
      <c r="C8" s="83"/>
      <c r="D8" s="83"/>
      <c r="F8" s="200" t="s">
        <v>182</v>
      </c>
      <c r="G8" s="204">
        <v>116150</v>
      </c>
    </row>
    <row r="9" spans="1:9" x14ac:dyDescent="0.2">
      <c r="F9" s="200" t="s">
        <v>183</v>
      </c>
      <c r="G9" s="204">
        <v>129850</v>
      </c>
    </row>
  </sheetData>
  <sheetProtection algorithmName="SHA-512" hashValue="dXQMpy4a+8mPtGaMumRHwnYauvc+bungrDAA3iH90QEdfADWt7SInD7S/de6YCjfCRkKbtElCZOBgv6nRwGI4A==" saltValue="zSyzcL440oASl7fEzKeA2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7D3CFB50B68458CE8A55DDFA39955" ma:contentTypeVersion="1" ma:contentTypeDescription="Create a new document." ma:contentTypeScope="" ma:versionID="cae1c308fef8069cfcbeedd601b63144">
  <xsd:schema xmlns:xsd="http://www.w3.org/2001/XMLSchema" xmlns:xs="http://www.w3.org/2001/XMLSchema" xmlns:p="http://schemas.microsoft.com/office/2006/metadata/properties" xmlns:ns2="daf907c2-787a-41ea-975b-14f0b86fa14a" targetNamespace="http://schemas.microsoft.com/office/2006/metadata/properties" ma:root="true" ma:fieldsID="870c9f38e8e21ecd8e538f072dbf3b82" ns2:_="">
    <xsd:import namespace="daf907c2-787a-41ea-975b-14f0b86fa14a"/>
    <xsd:element name="properties">
      <xsd:complexType>
        <xsd:sequence>
          <xsd:element name="documentManagement">
            <xsd:complexType>
              <xsd:all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07c2-787a-41ea-975b-14f0b86fa14a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oc Status" ma:default="Updated" ma:description="Status" ma:format="RadioButtons" ma:internalName="Test">
      <xsd:simpleType>
        <xsd:restriction base="dms:Choice">
          <xsd:enumeration value="Updated"/>
          <xsd:enumeration value="Not_Upd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est xmlns="daf907c2-787a-41ea-975b-14f0b86fa14a">Updated</Test>
  </documentManagement>
</p:properties>
</file>

<file path=customXml/itemProps1.xml><?xml version="1.0" encoding="utf-8"?>
<ds:datastoreItem xmlns:ds="http://schemas.openxmlformats.org/officeDocument/2006/customXml" ds:itemID="{3DF4F28E-48D7-452A-8DCE-C41958261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907c2-787a-41ea-975b-14f0b86f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CDC42-3F90-4815-8DFE-2B551B444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DF505-AC7B-42F0-B4AF-214877F557E0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af907c2-787a-41ea-975b-14f0b86fa14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Calculation</vt:lpstr>
      <vt:lpstr>TravelAllowanceCalc</vt:lpstr>
      <vt:lpstr>CoCar</vt:lpstr>
      <vt:lpstr>MedAidBenefit</vt:lpstr>
      <vt:lpstr>VehicleLookupSchedule</vt:lpstr>
      <vt:lpstr>Tax_Tables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Cloete, Shani</cp:lastModifiedBy>
  <cp:lastPrinted>2012-02-21T08:08:52Z</cp:lastPrinted>
  <dcterms:created xsi:type="dcterms:W3CDTF">2005-03-03T11:13:30Z</dcterms:created>
  <dcterms:modified xsi:type="dcterms:W3CDTF">2016-04-19T11:59:52Z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0x010100D337D3CFB50B68458CE8A55DDFA39955</vt:lpwstr>
  </property>
</Properties>
</file>